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8lEy0nclZz5Pf2yMciuhbyh3+zd1SUBfPSqiwObq+4m6YELsMK18kK4BY67ci/sPCcR/+ItEd8rl8E3DbieAfg==" workbookSaltValue="a116/0bXZhyxpMUuzhSAi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F16" i="16" l="1"/>
  <c r="BG16" i="8"/>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AL16" i="11"/>
  <c r="AN16" i="11"/>
  <c r="BI16" i="26"/>
  <c r="BX16" i="20"/>
  <c r="AC16" i="11"/>
  <c r="BD16" i="13"/>
  <c r="BD16" i="8"/>
  <c r="H16" i="7" s="1"/>
  <c r="K16" i="12" l="1"/>
  <c r="I16" i="12"/>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N10" i="11"/>
  <c r="ES20" i="8"/>
  <c r="R20" i="8"/>
  <c r="D18" i="2"/>
  <c r="T20" i="8"/>
  <c r="T13" i="12"/>
  <c r="BD18" i="13"/>
  <c r="B19" i="2" l="1"/>
  <c r="D19" i="1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P20" i="8"/>
  <c r="BA20" i="19"/>
  <c r="BD13" i="19"/>
  <c r="BF13" i="19"/>
  <c r="AD20" i="8"/>
  <c r="V20" i="8"/>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M21" i="26"/>
  <c r="AP21" i="27"/>
  <c r="AX21" i="27"/>
  <c r="AX21" i="20"/>
  <c r="R21" i="27"/>
  <c r="AU21" i="26"/>
  <c r="BI21" i="26"/>
  <c r="R21" i="26"/>
  <c r="H21" i="26"/>
  <c r="BR21" i="26"/>
  <c r="AZ21" i="26"/>
  <c r="K21" i="20"/>
  <c r="BQ21" i="26"/>
  <c r="AX21" i="26"/>
  <c r="R21" i="20"/>
  <c r="W21" i="26"/>
  <c r="V21" i="26"/>
  <c r="N21" i="27"/>
  <c r="N21" i="20"/>
  <c r="AM21" i="20"/>
  <c r="AG21" i="20"/>
  <c r="AU21" i="20"/>
  <c r="AK21" i="20"/>
  <c r="BC21" i="26"/>
  <c r="S21" i="27"/>
  <c r="W21" i="20"/>
  <c r="AU21" i="27"/>
  <c r="BD21" i="26"/>
  <c r="BP21" i="26"/>
  <c r="AJ21" i="27"/>
  <c r="S21" i="26"/>
  <c r="BS21" i="26"/>
  <c r="AN21" i="2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B21" i="26"/>
  <c r="F21" i="20"/>
  <c r="AL21" i="27"/>
  <c r="P21" i="26"/>
  <c r="AN21" i="20"/>
  <c r="T21" i="26"/>
  <c r="X21" i="27"/>
  <c r="AK21" i="27"/>
  <c r="T21" i="21"/>
  <c r="AW21" i="26"/>
  <c r="AH21" i="27"/>
  <c r="BM21" i="26"/>
  <c r="H21" i="27"/>
  <c r="G19" i="14"/>
  <c r="BJ21" i="26"/>
  <c r="AC21" i="27"/>
  <c r="AC21" i="20"/>
  <c r="AS21" i="26"/>
  <c r="AV21" i="20"/>
  <c r="J21" i="20"/>
  <c r="H21" i="20"/>
  <c r="K21" i="27"/>
  <c r="AI21" i="26"/>
  <c r="AA21" i="20"/>
  <c r="T21" i="27"/>
  <c r="AR21" i="26"/>
  <c r="AB21" i="20"/>
  <c r="BB21" i="26"/>
  <c r="I21" i="27"/>
  <c r="AO21" i="20"/>
  <c r="N21" i="26"/>
  <c r="J21" i="26"/>
  <c r="X21" i="26"/>
  <c r="AY21" i="27"/>
  <c r="O10" i="11"/>
  <c r="AA21" i="27"/>
  <c r="BR21" i="16"/>
  <c r="BP21" i="16"/>
  <c r="AX21" i="21"/>
  <c r="U18" i="11"/>
  <c r="I21" i="20"/>
  <c r="AT21" i="27"/>
  <c r="AV21" i="21"/>
  <c r="AW21" i="11"/>
  <c r="H21" i="17"/>
  <c r="G20" i="7" l="1"/>
  <c r="F19" i="2"/>
  <c r="K10" i="12"/>
  <c r="BI20" i="26"/>
  <c r="BD19" i="13"/>
  <c r="BE13" i="8"/>
  <c r="K12" i="12"/>
  <c r="J12" i="12"/>
  <c r="U17" i="21"/>
  <c r="U19" i="21" s="1"/>
  <c r="AO11" i="17"/>
  <c r="AM18" i="11"/>
  <c r="BH19" i="16"/>
  <c r="X17" i="16"/>
  <c r="X11" i="17"/>
  <c r="X15" i="16"/>
  <c r="X19" i="16" s="1"/>
  <c r="AP16" i="20"/>
  <c r="BV16" i="16"/>
  <c r="BH16" i="16"/>
  <c r="T16" i="16"/>
  <c r="AP16" i="27"/>
  <c r="BU16" i="17"/>
  <c r="Q16" i="17"/>
  <c r="BV16" i="26"/>
  <c r="BH16" i="26"/>
  <c r="T16" i="26"/>
  <c r="BM16" i="11"/>
  <c r="BK16" i="11"/>
  <c r="BI16" i="11"/>
  <c r="BG16" i="11"/>
  <c r="V16" i="11"/>
  <c r="S16" i="16"/>
  <c r="BW16" i="27"/>
  <c r="P16" i="17"/>
  <c r="S16" i="26"/>
  <c r="BL16" i="11"/>
  <c r="BJ16" i="11"/>
  <c r="BH16" i="11"/>
  <c r="BF16" i="11"/>
  <c r="T16" i="11"/>
  <c r="V16" i="26"/>
  <c r="S16" i="17"/>
  <c r="V16" i="16"/>
  <c r="AZ16" i="11"/>
  <c r="X16" i="26"/>
  <c r="V16" i="27"/>
  <c r="V16" i="20"/>
  <c r="L16" i="2"/>
  <c r="R16" i="14"/>
  <c r="AA16" i="26"/>
  <c r="X16" i="17"/>
  <c r="AA16" i="16"/>
  <c r="S16" i="14"/>
  <c r="V16" i="14" s="1"/>
  <c r="U16" i="17"/>
  <c r="X16" i="16"/>
  <c r="AM16" i="11"/>
  <c r="AO16" i="17"/>
  <c r="S18" i="26"/>
  <c r="BV17" i="26"/>
  <c r="BH17" i="26"/>
  <c r="S15" i="26"/>
  <c r="BV11" i="26"/>
  <c r="BH11" i="26"/>
  <c r="BV18" i="26"/>
  <c r="BH18" i="26"/>
  <c r="T18" i="26"/>
  <c r="BV15" i="26"/>
  <c r="BH15" i="26"/>
  <c r="T15" i="26"/>
  <c r="BV12" i="26"/>
  <c r="BH12" i="26"/>
  <c r="BV10" i="26"/>
  <c r="BH10" i="26"/>
  <c r="BV9" i="26"/>
  <c r="BH9" i="26"/>
  <c r="V10" i="26"/>
  <c r="V11" i="26"/>
  <c r="V12" i="26"/>
  <c r="V17" i="26"/>
  <c r="X18" i="26"/>
  <c r="AA9" i="26"/>
  <c r="X11" i="26"/>
  <c r="AA12" i="26"/>
  <c r="X17" i="26"/>
  <c r="AA18" i="26"/>
  <c r="V15" i="26"/>
  <c r="V9" i="26"/>
  <c r="AA10" i="26"/>
  <c r="AA11" i="26"/>
  <c r="X15" i="26"/>
  <c r="X19" i="26" s="1"/>
  <c r="AA17" i="26"/>
  <c r="X9" i="26"/>
  <c r="X10" i="26"/>
  <c r="X12" i="26"/>
  <c r="AA15" i="26"/>
  <c r="V18" i="26"/>
  <c r="AA19" i="26"/>
  <c r="BH19" i="26"/>
  <c r="U11" i="17"/>
  <c r="X10" i="16"/>
  <c r="X18" i="16"/>
  <c r="V18" i="20"/>
  <c r="BH17" i="16"/>
  <c r="X19" i="20"/>
  <c r="X19" i="17"/>
  <c r="U12" i="17"/>
  <c r="S15" i="14"/>
  <c r="V15" i="14" s="1"/>
  <c r="X9" i="16"/>
  <c r="X20" i="16" s="1"/>
  <c r="AP19" i="20"/>
  <c r="X17" i="20"/>
  <c r="BV12" i="16"/>
  <c r="AA13" i="26"/>
  <c r="BH13" i="26"/>
  <c r="AS21" i="27"/>
  <c r="W19" i="14"/>
  <c r="Z19" i="14"/>
  <c r="AD19" i="14"/>
  <c r="P19" i="14"/>
  <c r="AC19" i="14"/>
  <c r="M19" i="14"/>
  <c r="AA19" i="14"/>
  <c r="H19" i="14"/>
  <c r="X19" i="14"/>
  <c r="Q19" i="14"/>
  <c r="Y19" i="14"/>
  <c r="AB19" i="14"/>
  <c r="BL21" i="26"/>
  <c r="U13" i="11"/>
  <c r="V10" i="11"/>
  <c r="U22" i="11"/>
  <c r="U20" i="11"/>
  <c r="O19" i="11"/>
  <c r="H13" i="14"/>
  <c r="Z13" i="14"/>
  <c r="Y13" i="14"/>
  <c r="W13" i="14"/>
  <c r="Q13" i="14"/>
  <c r="AC13" i="14"/>
  <c r="AD13" i="14"/>
  <c r="M13" i="14"/>
  <c r="AA13" i="14"/>
  <c r="P13" i="14"/>
  <c r="X13" i="14"/>
  <c r="AB13" i="14"/>
  <c r="U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T19" i="26"/>
  <c r="T20" i="26" s="1"/>
  <c r="S19" i="26"/>
  <c r="S20" i="26" s="1"/>
  <c r="X20" i="26"/>
  <c r="X13" i="26"/>
  <c r="V19" i="26"/>
  <c r="BV13" i="26"/>
  <c r="BV20" i="26" s="1"/>
  <c r="BV22" i="26"/>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16"/>
  <c r="AB21" i="21"/>
  <c r="AL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<sst xmlns="http://schemas.openxmlformats.org/spreadsheetml/2006/main" count="2527" uniqueCount="1027">
  <si>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</si>
  <si>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</si>
  <si>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</si>
  <si>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</si>
  <si>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</si>
  <si>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</si>
  <si>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</si>
  <si>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</si>
  <si>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</si>
  <si>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</si>
  <si>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</si>
  <si>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</si>
  <si>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</si>
  <si>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</si>
  <si>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</si>
  <si>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</si>
  <si>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</si>
  <si>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</si>
  <si>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</si>
  <si>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</si>
  <si>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</si>
  <si>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</si>
  <si>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</si>
  <si>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</si>
  <si>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</si>
  <si>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</si>
  <si>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</si>
  <si>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</si>
  <si>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</si>
  <si>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</si>
  <si>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</si>
  <si>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</si>
  <si>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</si>
  <si>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</si>
  <si>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</si>
  <si>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</si>
  <si>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</si>
  <si>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</si>
  <si>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</si>
  <si>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</si>
  <si>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</si>
  <si>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</si>
  <si>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</si>
  <si>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</si>
  <si>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</si>
  <si>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</si>
  <si>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</si>
  <si>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</si>
  <si>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</si>
  <si>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</si>
  <si>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</si>
  <si>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</si>
  <si>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</si>
  <si>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</si>
  <si>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</si>
  <si>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</si>
  <si>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</si>
  <si>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</si>
  <si>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</si>
  <si>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</si>
  <si>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</si>
  <si>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</si>
  <si>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</si>
  <si>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</si>
  <si>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</si>
  <si>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</si>
  <si>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</si>
  <si>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</si>
  <si>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</si>
  <si>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</si>
  <si>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</si>
  <si>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</si>
  <si>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</si>
  <si>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</si>
  <si>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</si>
  <si>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</si>
  <si>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</si>
  <si>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</si>
  <si>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</si>
  <si>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</si>
  <si>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</si>
  <si>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</si>
  <si>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</si>
  <si>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</si>
  <si>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</si>
  <si>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</si>
  <si>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</si>
  <si>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</si>
  <si>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</si>
  <si>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</si>
  <si>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</si>
  <si>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</si>
  <si>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</si>
  <si>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</si>
  <si>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</si>
  <si>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</si>
  <si>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</si>
  <si>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</si>
  <si>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</si>
  <si>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</si>
  <si>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</si>
  <si>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</si>
  <si>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</si>
  <si>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</si>
  <si>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</si>
  <si>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</si>
  <si>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</si>
  <si>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</si>
  <si>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</si>
  <si>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</si>
  <si>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</si>
  <si>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</si>
  <si>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</si>
  <si>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</si>
  <si>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</si>
  <si>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</si>
  <si>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</si>
  <si>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</si>
  <si>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</si>
  <si>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</si>
  <si>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</si>
  <si>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</si>
  <si>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</si>
  <si>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</si>
  <si>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</si>
  <si>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</si>
  <si>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</si>
  <si>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</si>
  <si>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</si>
  <si>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</si>
  <si>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</si>
  <si>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</si>
  <si>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</si>
  <si>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</si>
  <si>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</si>
  <si>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</si>
  <si>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</si>
  <si>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</si>
  <si>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</si>
  <si>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</si>
  <si>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</si>
  <si>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</si>
  <si>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</si>
  <si>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</si>
  <si>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</si>
  <si>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</si>
  <si>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</si>
  <si>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</si>
  <si>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</si>
  <si>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</si>
  <si>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</si>
  <si>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</si>
  <si>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</si>
  <si>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</si>
  <si>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</si>
  <si>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</si>
  <si>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</si>
  <si>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</si>
  <si>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</si>
  <si>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</si>
  <si>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</si>
  <si>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</si>
  <si>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</si>
  <si>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</si>
  <si>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</si>
  <si>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</si>
  <si>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</si>
  <si>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</si>
  <si>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</si>
  <si>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</si>
  <si>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</si>
  <si>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</si>
  <si>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</si>
  <si>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</si>
  <si>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</si>
  <si>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</si>
  <si>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</si>
  <si>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</si>
  <si>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</si>
  <si>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</si>
  <si>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</si>
  <si>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</si>
  <si>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</si>
  <si>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</si>
  <si>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</si>
  <si>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</si>
  <si>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</si>
  <si>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</si>
  <si>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</si>
  <si>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</si>
  <si>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</si>
  <si>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</si>
  <si>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</si>
  <si>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</si>
  <si>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</si>
  <si>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</si>
  <si>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</si>
  <si>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</si>
  <si>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</si>
  <si>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</si>
  <si>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</si>
  <si>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</si>
  <si>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</si>
  <si>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</si>
  <si>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</si>
  <si>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</si>
  <si>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</si>
  <si>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</si>
  <si>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</si>
  <si>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</si>
  <si>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</si>
  <si>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</si>
  <si>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</si>
  <si>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</si>
  <si>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</si>
  <si>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</si>
  <si>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</si>
  <si>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</si>
  <si>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</si>
  <si>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</si>
  <si>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</si>
  <si>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</si>
  <si>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</si>
  <si>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</si>
  <si>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</si>
  <si>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</si>
  <si>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</si>
  <si>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</si>
  <si>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</si>
  <si>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</si>
  <si>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</si>
  <si>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</si>
  <si>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</si>
  <si>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</si>
  <si>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</si>
  <si>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</si>
  <si>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</si>
  <si>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</si>
  <si>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</si>
  <si>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</si>
  <si>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</si>
  <si>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</si>
  <si>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</si>
  <si>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</si>
  <si>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</si>
  <si>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</si>
  <si>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</si>
  <si>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</si>
  <si>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</si>
  <si>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</si>
  <si>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</si>
  <si>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</si>
  <si>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</si>
  <si>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</si>
  <si>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</si>
  <si>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</si>
  <si>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</si>
  <si>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</si>
  <si>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</si>
  <si>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</si>
  <si>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</si>
  <si>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</si>
  <si>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</si>
  <si>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</si>
  <si>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</si>
  <si>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</si>
  <si>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</si>
  <si>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</si>
  <si>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</si>
  <si>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</si>
  <si>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</si>
  <si>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</si>
  <si>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</si>
  <si>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</si>
  <si>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</si>
  <si>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</si>
  <si>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</si>
  <si>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</si>
  <si>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</si>
  <si>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</si>
  <si>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</si>
  <si>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</si>
  <si>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</si>
  <si>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</si>
  <si>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</si>
  <si>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</si>
  <si>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</si>
  <si>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</si>
  <si>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</si>
  <si>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</si>
  <si>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</si>
  <si>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</si>
  <si>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</si>
  <si>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</si>
  <si>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</si>
  <si>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</si>
  <si>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</si>
  <si>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</si>
  <si>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</si>
  <si>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</si>
  <si>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</si>
  <si>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</si>
  <si>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</si>
  <si>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</si>
  <si>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</si>
  <si>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</si>
  <si>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</si>
  <si>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</si>
  <si>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</si>
  <si>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</si>
  <si>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</si>
  <si>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</si>
  <si>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</si>
  <si>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</si>
  <si>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</si>
  <si>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</si>
  <si>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</si>
  <si>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</si>
  <si>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</si>
  <si>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</si>
  <si>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</si>
  <si>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</si>
  <si>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</si>
  <si>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</si>
  <si>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</si>
  <si>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</si>
  <si>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</si>
  <si>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</si>
  <si>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</si>
  <si>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</si>
  <si>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</si>
  <si>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</si>
  <si>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</si>
  <si>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</si>
  <si>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</si>
  <si>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</si>
  <si>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</si>
  <si>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</si>
  <si>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</si>
  <si>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</si>
  <si>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</si>
  <si>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</si>
  <si>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</si>
  <si>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</si>
  <si>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</si>
  <si>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</si>
  <si>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</si>
  <si>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</si>
  <si>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</si>
  <si>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</si>
  <si>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</si>
  <si>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</si>
  <si>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</si>
  <si>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</si>
  <si>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</si>
  <si>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</si>
  <si>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</si>
  <si>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</si>
  <si>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</si>
  <si>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</si>
  <si>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</si>
  <si>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</si>
  <si>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</si>
  <si>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</si>
  <si>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</si>
  <si>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</si>
  <si>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</si>
  <si>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</si>
  <si>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</si>
  <si>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</si>
  <si>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</si>
  <si>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</si>
  <si>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</si>
  <si>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</si>
  <si>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</si>
  <si>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</si>
  <si>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</si>
  <si>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</si>
  <si>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</si>
  <si>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</si>
  <si>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</si>
  <si>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</si>
  <si>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</si>
  <si>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</si>
  <si>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</si>
  <si>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</si>
  <si>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</si>
  <si>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</si>
  <si>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</si>
  <si>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</si>
  <si>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</si>
  <si>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</si>
  <si>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</si>
  <si>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</si>
  <si>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</si>
  <si>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</si>
  <si>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</si>
  <si>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</si>
  <si>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</si>
  <si>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</si>
  <si>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</si>
  <si>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</si>
  <si>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</si>
  <si>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</si>
  <si>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</si>
  <si>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</si>
  <si>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</si>
  <si>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</si>
  <si>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</si>
  <si>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</si>
  <si>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</si>
  <si>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</si>
  <si>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</si>
  <si>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</si>
  <si>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</si>
  <si>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</si>
  <si>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</si>
  <si>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</si>
  <si>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</si>
  <si>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</si>
  <si>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</si>
  <si>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</si>
  <si>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</si>
  <si>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</si>
  <si>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</si>
  <si>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</si>
  <si>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</si>
  <si>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</si>
  <si>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</si>
  <si>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</si>
  <si>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</si>
  <si>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</si>
  <si>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</si>
  <si>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</si>
  <si>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</si>
  <si>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</si>
  <si>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</si>
  <si>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</si>
  <si>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</si>
  <si>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</si>
  <si>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</si>
  <si>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</si>
  <si>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</si>
  <si>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</si>
  <si>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</si>
  <si>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</si>
  <si>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</si>
  <si>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</si>
  <si>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</si>
  <si>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</si>
  <si>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</si>
  <si>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</si>
  <si>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</si>
  <si>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</si>
  <si>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</si>
  <si>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</si>
  <si>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</si>
  <si>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</si>
  <si>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</si>
  <si>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</si>
  <si>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</si>
  <si>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</si>
  <si>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</si>
  <si>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</si>
  <si>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</si>
  <si>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</si>
  <si>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</si>
  <si>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</si>
  <si>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</si>
  <si>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</si>
  <si>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</si>
  <si>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</si>
  <si>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</si>
  <si>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</si>
  <si>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</si>
  <si>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</si>
  <si>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</si>
  <si>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</si>
  <si>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</si>
  <si>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</si>
  <si>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</si>
  <si>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</si>
  <si>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</si>
  <si>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</si>
  <si>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</si>
  <si>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</si>
  <si>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</si>
  <si>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</si>
  <si>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</si>
  <si>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</si>
  <si>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</si>
  <si>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</si>
  <si>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</si>
  <si>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</si>
  <si>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</si>
  <si>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</si>
  <si>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</si>
  <si>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</si>
  <si>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</si>
  <si>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</si>
  <si>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</si>
  <si>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</si>
  <si>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</si>
  <si>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</si>
  <si>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</si>
  <si>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</si>
  <si>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</si>
  <si>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</si>
  <si>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</si>
  <si>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</si>
  <si>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</si>
  <si>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</si>
  <si>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</si>
  <si>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</si>
  <si>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</si>
  <si>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</si>
  <si>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</si>
  <si>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</si>
  <si>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</si>
  <si>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</si>
  <si>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</si>
  <si>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</si>
  <si>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</si>
  <si>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</si>
  <si>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</si>
  <si>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</si>
  <si>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</si>
  <si>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</si>
  <si>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</si>
  <si>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</si>
  <si>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</si>
  <si>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</si>
  <si>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</si>
  <si>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</si>
  <si>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</si>
  <si>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</si>
  <si>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</si>
  <si>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</si>
  <si>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</si>
  <si>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</si>
  <si>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</si>
  <si>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</si>
  <si>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</si>
  <si>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</si>
  <si>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</si>
  <si>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</si>
  <si>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</si>
  <si>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</si>
  <si>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</si>
  <si>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</si>
  <si>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</si>
  <si>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</si>
  <si>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</si>
  <si>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</si>
  <si>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</si>
  <si>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</si>
  <si>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</si>
  <si>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</si>
  <si>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</si>
  <si>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</si>
  <si>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</si>
  <si>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</si>
  <si>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</si>
  <si>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</si>
  <si>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</si>
  <si>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</si>
  <si>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</si>
  <si>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</si>
  <si>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</si>
  <si>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</si>
  <si>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</si>
  <si>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</si>
  <si>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</si>
  <si>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</si>
  <si>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</si>
  <si>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</si>
  <si>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</si>
  <si>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</si>
  <si>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</si>
  <si>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</si>
  <si>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</si>
  <si>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</si>
  <si>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</si>
  <si>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</si>
  <si>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</si>
  <si>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</si>
  <si>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</si>
  <si>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</si>
  <si>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</si>
  <si>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</si>
  <si>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</si>
  <si>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</si>
  <si>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</si>
  <si>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</si>
  <si>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</si>
  <si>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</si>
  <si>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</si>
  <si>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</si>
  <si>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</si>
  <si>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</si>
  <si>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</si>
  <si>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</si>
  <si>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</si>
  <si>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</si>
  <si>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</si>
  <si>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</si>
  <si>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</si>
  <si>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</si>
  <si>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</si>
  <si>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</si>
  <si>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</si>
  <si>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</si>
  <si>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</si>
  <si>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</si>
  <si>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</si>
  <si>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</si>
  <si>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</si>
  <si>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</si>
  <si>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</si>
  <si>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</si>
  <si>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</si>
  <si>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</si>
  <si>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</si>
  <si>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</si>
  <si>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</si>
  <si>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</si>
  <si>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</si>
  <si>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</si>
  <si>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</si>
  <si>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</si>
  <si>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</si>
  <si>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</si>
  <si>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</si>
  <si>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</si>
  <si>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</si>
  <si>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</si>
  <si>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</si>
  <si>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</si>
  <si>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</si>
  <si>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</si>
  <si>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</si>
  <si>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</si>
  <si>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</si>
  <si>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</si>
  <si>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</si>
  <si>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</si>
  <si>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</si>
  <si>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</si>
  <si>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</si>
  <si>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</si>
  <si>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</si>
  <si>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</si>
  <si>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</si>
  <si>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</si>
  <si>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</si>
  <si>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</si>
  <si>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</si>
  <si>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</si>
  <si>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</si>
  <si>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</si>
  <si>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</si>
  <si>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</si>
  <si>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</si>
  <si>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</si>
  <si>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</si>
  <si>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</si>
  <si>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</si>
  <si>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</si>
  <si>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</si>
  <si>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</si>
  <si>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</si>
  <si>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</si>
  <si>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</si>
  <si>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</si>
  <si>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</si>
  <si>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</si>
  <si>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</si>
  <si>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</si>
  <si>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</si>
  <si>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</si>
  <si>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</si>
  <si>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</si>
  <si>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</si>
  <si>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</si>
  <si>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</si>
  <si>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</si>
  <si>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</si>
  <si>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</si>
  <si>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</si>
  <si>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</si>
  <si>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</si>
  <si>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</si>
  <si>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</si>
  <si>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</si>
  <si>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</si>
  <si>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</si>
  <si>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</si>
  <si>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</si>
  <si>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</si>
  <si>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</si>
  <si>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</si>
  <si>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</si>
  <si>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</si>
  <si>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</si>
  <si>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</si>
  <si>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</si>
  <si>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</si>
  <si>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</si>
  <si>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</si>
  <si>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</si>
  <si>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</si>
  <si>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</si>
  <si>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</si>
  <si>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</si>
  <si>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</si>
  <si>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</si>
  <si>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</si>
  <si>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</si>
  <si>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</si>
  <si>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</si>
  <si>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</si>
  <si>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</si>
  <si>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</si>
  <si>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</si>
  <si>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</si>
  <si>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</si>
  <si>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</si>
  <si>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</si>
  <si>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</si>
  <si>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</si>
  <si>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</si>
  <si>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</si>
  <si>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</si>
  <si>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</si>
  <si>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</si>
  <si>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</si>
  <si>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</si>
  <si>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</si>
  <si>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</si>
  <si>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</si>
  <si>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</si>
  <si>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</si>
  <si>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</si>
  <si>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</si>
  <si>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</si>
  <si>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</si>
  <si>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</si>
  <si>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</si>
  <si>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</si>
  <si>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</si>
  <si>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</si>
  <si>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</si>
  <si>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</si>
  <si>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</si>
  <si>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</si>
  <si>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</si>
  <si>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</si>
  <si>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</si>
  <si>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</si>
  <si>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</si>
  <si>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</si>
  <si>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</si>
  <si>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</si>
  <si>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</si>
  <si>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</si>
  <si>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</si>
  <si>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</si>
  <si>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</si>
  <si>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</si>
  <si>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</si>
  <si>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</si>
  <si>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</si>
  <si>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</si>
  <si>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</si>
  <si>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</si>
  <si>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</si>
  <si>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</si>
  <si>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</si>
  <si>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</si>
  <si>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</si>
  <si>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</si>
  <si>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</si>
  <si>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</si>
  <si>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</si>
  <si>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</si>
  <si>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</si>
  <si>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</si>
  <si>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</si>
  <si>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</si>
  <si>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</si>
  <si>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</si>
  <si>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</si>
  <si>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</si>
  <si>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</si>
  <si>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</si>
  <si>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</si>
  <si>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</si>
  <si>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</si>
  <si>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</si>
  <si>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</si>
  <si>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</si>
  <si>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</si>
  <si>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</si>
  <si>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</si>
  <si>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</si>
  <si>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</si>
  <si>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</si>
  <si>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</si>
  <si>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</si>
  <si>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</si>
  <si>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</si>
  <si>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</si>
  <si>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</si>
  <si>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</si>
  <si>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</si>
  <si>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</si>
  <si>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</si>
  <si>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</si>
  <si>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</si>
  <si>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</si>
  <si>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</si>
  <si>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</si>
  <si>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</si>
  <si>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</si>
  <si>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</si>
  <si>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</si>
  <si>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</si>
  <si>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</si>
  <si>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</si>
  <si>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</si>
  <si>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</si>
  <si>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</si>
  <si>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</si>
  <si>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</si>
  <si>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</si>
  <si>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</si>
  <si>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</si>
  <si>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</si>
  <si>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</si>
  <si>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</si>
  <si>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</si>
  <si>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</si>
  <si>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</si>
  <si>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</si>
  <si>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</si>
  <si>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</si>
  <si>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</si>
  <si>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</si>
  <si>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</si>
  <si>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</si>
  <si>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</si>
  <si>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</si>
  <si>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</si>
  <si>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</si>
  <si>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</si>
  <si>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</si>
  <si>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</si>
  <si>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</si>
  <si>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</si>
  <si>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</si>
  <si>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</si>
  <si>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</si>
  <si>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</si>
  <si>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</si>
  <si>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</si>
  <si>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</si>
  <si>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</si>
  <si>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</si>
  <si>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</si>
  <si>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</si>
  <si>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</si>
  <si>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</si>
  <si>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</si>
  <si>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</si>
  <si>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</si>
  <si>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</si>
  <si>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</si>
  <si>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</si>
  <si>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</si>
  <si>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</si>
  <si>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</si>
  <si>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</si>
  <si>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</si>
  <si>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</si>
  <si>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</si>
  <si>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</si>
  <si>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</si>
  <si>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</si>
  <si>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</si>
  <si>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</si>
  <si>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</si>
  <si>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</si>
  <si>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</si>
  <si>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</si>
  <si>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</si>
  <si>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</si>
  <si>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</si>
  <si>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</si>
  <si>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</si>
  <si>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</si>
  <si>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</si>
  <si>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</si>
  <si>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</si>
  <si>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</si>
  <si>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</si>
  <si>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</si>
  <si>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</si>
  <si>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</si>
  <si>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</si>
  <si>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</si>
  <si>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</si>
  <si>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</si>
  <si>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</si>
  <si>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</si>
  <si>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</si>
  <si>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</si>
  <si>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</si>
  <si>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</si>
  <si>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</si>
  <si>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</si>
  <si>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</si>
  <si>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</si>
  <si>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</si>
  <si>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</si>
  <si>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</si>
  <si>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</si>
  <si>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</si>
  <si>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</si>
  <si>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</si>
  <si>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</si>
  <si>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</si>
  <si>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</si>
  <si>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</si>
  <si>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</si>
  <si>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</si>
  <si>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</si>
  <si>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</si>
  <si>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</si>
  <si>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</si>
  <si>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</si>
  <si>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</si>
  <si>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</si>
  <si>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</si>
  <si>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</si>
  <si>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</si>
  <si>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</si>
  <si>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</si>
  <si>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</si>
  <si>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</si>
  <si>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</si>
  <si>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</si>
  <si>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</si>
  <si>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</si>
  <si>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</si>
  <si>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</si>
  <si>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</si>
  <si>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</si>
  <si>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</si>
  <si>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</si>
  <si>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</si>
  <si>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</si>
  <si>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</si>
  <si>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</si>
  <si>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</si>
  <si>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</si>
  <si>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</si>
  <si>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</si>
  <si>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</si>
  <si>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</si>
  <si>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</si>
  <si>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</si>
  <si>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</si>
  <si>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</si>
  <si>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</si>
  <si>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</si>
  <si>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</si>
  <si>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</si>
  <si>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</si>
  <si>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</si>
  <si>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</si>
  <si>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</si>
  <si>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</si>
  <si>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</si>
  <si>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</si>
  <si>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</si>
  <si>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</si>
  <si>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</si>
  <si>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</si>
  <si>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</si>
  <si>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</si>
  <si>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</si>
  <si>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</si>
  <si>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</si>
  <si>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</si>
  <si>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</si>
  <si>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</si>
  <si>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</si>
  <si>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</si>
  <si>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</si>
  <si>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</si>
  <si>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</si>
  <si>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</si>
  <si>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</si>
  <si>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</si>
  <si>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</si>
  <si>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</si>
  <si>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</si>
  <si>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</si>
  <si>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</si>
  <si>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</si>
  <si>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</si>
  <si>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</si>
  <si>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</si>
  <si>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</si>
  <si>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</si>
  <si>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</si>
  <si>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</si>
  <si>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</si>
  <si>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</si>
  <si>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</si>
  <si>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</si>
  <si>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</si>
  <si>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</si>
  <si>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</si>
  <si>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</si>
  <si>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</si>
  <si>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GANDIA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</si>
</sst>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saHt+pTCBAZJKKbFJ9LONjCiSyU1n3ZcxA50bSHBIMmncdTG2RshZWxtRcZ3FqWlmz52LtyJBoc8ANpPQoJLQ==" saltValue="2lB5SfmGY7X8Bh1Q4TDCF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GANDIA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6</v>
      </c>
      <c r="C9" s="402">
        <f>IF(ISNUMBER(IF(J_V="SI",Datos!I9,Datos!I9+Datos!Y9)),IF(J_V="SI",Datos!I9,Datos!I9+Datos!Y9)," - ")</f>
        <v>4332</v>
      </c>
      <c r="D9" s="403">
        <f>IF(ISNUMBER(C9/Datos!BH9),C9/Datos!BH9," - ")</f>
        <v>722</v>
      </c>
      <c r="E9" s="402">
        <f>IF(ISNUMBER(IF(J_V="SI",Datos!J9,Datos!J9+Datos!Z9)),IF(J_V="SI",Datos!J9,Datos!J9+Datos!Z9)," - ")</f>
        <v>2765</v>
      </c>
      <c r="F9" s="403">
        <f>IF(ISNUMBER(E9/B9),E9/B9," - ")</f>
        <v>460.83333333333331</v>
      </c>
      <c r="G9" s="402">
        <f>IF(ISNUMBER(IF(J_V="SI",Datos!K9,Datos!K9+Datos!AA9)),IF(J_V="SI",Datos!K9,Datos!K9+Datos!AA9)," - ")</f>
        <v>2291</v>
      </c>
      <c r="H9" s="403">
        <f>IF(ISNUMBER(G9/B9),G9/B9," - ")</f>
        <v>381.83333333333331</v>
      </c>
      <c r="I9" s="402">
        <f>IF(ISNUMBER(IF(J_V="SI",Datos!L9,Datos!L9+Datos!AB9)),IF(J_V="SI",Datos!L9,Datos!L9+Datos!AB9)," - ")</f>
        <v>4812</v>
      </c>
      <c r="J9" s="403">
        <f>IF(ISNUMBER(I9/B9),I9/B9," - ")</f>
        <v>802</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97</v>
      </c>
      <c r="D10" s="403">
        <f>IF(ISNUMBER(C10/Datos!BH10),C10/Datos!BH10," - ")</f>
        <v>97</v>
      </c>
      <c r="E10" s="402">
        <f>IF(ISNUMBER(Datos!J10),Datos!J10," - ")</f>
        <v>35</v>
      </c>
      <c r="F10" s="403">
        <f>IF(ISNUMBER(E10/B10),E10/B10," - ")</f>
        <v>35</v>
      </c>
      <c r="G10" s="402">
        <f>IF(ISNUMBER(Datos!K10),Datos!K10," - ")</f>
        <v>24</v>
      </c>
      <c r="H10" s="403">
        <f>IF(ISNUMBER(G10/B10),G10/B10," - ")</f>
        <v>24</v>
      </c>
      <c r="I10" s="402">
        <f>IF(ISNUMBER(Datos!L10),Datos!L10," - ")</f>
        <v>114</v>
      </c>
      <c r="J10" s="403">
        <f>IF(ISNUMBER(I10/B10),I10/B10," - ")</f>
        <v>114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0</v>
      </c>
      <c r="C12" s="402" t="str">
        <f>IF(ISNUMBER(IF(J_V="SI",Datos!I12,Datos!I12+Datos!Y12)),IF(J_V="SI",Datos!I12,Datos!I12+Datos!Y12)," - ")</f>
        <v xml:space="preserve"> - </v>
      </c>
      <c r="D12" s="403" t="str">
        <f>IF(ISNUMBER(C12/Datos!BH12),C12/Datos!BH12," - ")</f>
        <v xml:space="preserve"> - </v>
      </c>
      <c r="E12" s="402" t="str">
        <f>IF(ISNUMBER(IF(J_V="SI",Datos!J12,Datos!J12+Datos!Z12)),IF(J_V="SI",Datos!J12,Datos!J12+Datos!Z12)," - ")</f>
        <v xml:space="preserve"> - </v>
      </c>
      <c r="F12" s="403" t="str">
        <f>IF(ISNUMBER(E12/B12),E12/B12," - ")</f>
        <v xml:space="preserve"> - </v>
      </c>
      <c r="G12" s="402" t="str">
        <f>IF(ISNUMBER(IF(J_V="SI",Datos!K12,Datos!K12+Datos!AA12)),IF(J_V="SI",Datos!K12,Datos!K12+Datos!AA12)," - ")</f>
        <v xml:space="preserve"> - </v>
      </c>
      <c r="H12" s="403" t="str">
        <f>IF(ISNUMBER(G12/B12),G12/B12," - ")</f>
        <v xml:space="preserve"> - </v>
      </c>
      <c r="I12" s="402" t="str">
        <f>IF(ISNUMBER(IF(J_V="SI",Datos!L12,Datos!L12+Datos!AB12)),IF(J_V="SI",Datos!L12,Datos!L12+Datos!AB12)," - ")</f>
        <v xml:space="preserve"> - </v>
      </c>
      <c r="J12" s="403" t="str">
        <f>IF(ISNUMBER(I12/B12),I12/B12," - ")</f>
        <v xml:space="preserve"> - </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7</v>
      </c>
      <c r="C13" s="846">
        <f>SUBTOTAL(9,C8:C12)</f>
        <v>4429</v>
      </c>
      <c r="D13" s="847" t="str">
        <f>IF(ISNUMBER(C13/Datos!BI13),C13/Datos!BI13," - ")</f>
        <v xml:space="preserve"> - </v>
      </c>
      <c r="E13" s="846">
        <f>SUBTOTAL(9,E8:E12)</f>
        <v>2800</v>
      </c>
      <c r="F13" s="847">
        <f>IF(ISNUMBER(E13/B13),E13/B13," - ")</f>
        <v>400</v>
      </c>
      <c r="G13" s="846">
        <f>SUBTOTAL(9,G8:G12)</f>
        <v>2315</v>
      </c>
      <c r="H13" s="847">
        <f>IF(ISNUMBER(G13/B13),G13/B13," - ")</f>
        <v>330.71428571428572</v>
      </c>
      <c r="I13" s="846">
        <f>SUBTOTAL(9,I8:I12)</f>
        <v>4926</v>
      </c>
      <c r="J13" s="847">
        <f>IF(ISNUMBER(I13/B13),I13/B13," - ")</f>
        <v>703.71428571428567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3</v>
      </c>
      <c r="C15" s="402">
        <f>IF(ISNUMBER(IF(D_I="SI",Datos!I15,Datos!I15+Datos!AC15)),IF(D_I="SI",Datos!I15,Datos!I15+Datos!AC15)," - ")</f>
        <v>2676</v>
      </c>
      <c r="D15" s="403">
        <f>IF(ISNUMBER(C15/Datos!BH15),C15/Datos!BH15," - ")</f>
        <v>892</v>
      </c>
      <c r="E15" s="402">
        <f>IF(ISNUMBER(IF(D_I="SI",Datos!J15,Datos!J15+Datos!AD15)),IF(D_I="SI",Datos!J15,Datos!J15+Datos!AD15)," - ")</f>
        <v>2241</v>
      </c>
      <c r="F15" s="403">
        <f>IF(ISNUMBER(E15/B15),E15/B15," - ")</f>
        <v>747</v>
      </c>
      <c r="G15" s="402">
        <f>IF(ISNUMBER(IF(D_I="SI",Datos!K15,Datos!K15+Datos!AE15)),IF(D_I="SI",Datos!K15,Datos!K15+Datos!AE15)," - ")</f>
        <v>2258</v>
      </c>
      <c r="H15" s="403">
        <f>IF(ISNUMBER(G15/B15),G15/B15," - ")</f>
        <v>752.66666666666663</v>
      </c>
      <c r="I15" s="402">
        <f>IF(ISNUMBER(IF(D_I="SI",Datos!L15,Datos!L15+Datos!AF15)),IF(D_I="SI",Datos!L15,Datos!L15+Datos!AF15)," - ")</f>
        <v>2760</v>
      </c>
      <c r="J15" s="403">
        <f>IF(ISNUMBER(I15/B15),I15/B15," - ")</f>
        <v>920</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0</v>
      </c>
      <c r="C17" s="402" t="str">
        <f>IF(ISNUMBER(IF(D_I="SI",Datos!I17,Datos!I17+Datos!AC17)),IF(D_I="SI",Datos!I17,Datos!I17+Datos!AC17)," - ")</f>
        <v xml:space="preserve"> - </v>
      </c>
      <c r="D17" s="403" t="str">
        <f>IF(ISNUMBER(C17/Datos!BH17),C17/Datos!BH17," - ")</f>
        <v xml:space="preserve"> - </v>
      </c>
      <c r="E17" s="402" t="str">
        <f>IF(ISNUMBER(IF(D_I="SI",Datos!J17,Datos!J17+Datos!AD17)),IF(D_I="SI",Datos!J17,Datos!J17+Datos!AD17)," - ")</f>
        <v xml:space="preserve"> - </v>
      </c>
      <c r="F17" s="403" t="str">
        <f>IF(ISNUMBER(E17/B17),E17/B17," - ")</f>
        <v xml:space="preserve"> - </v>
      </c>
      <c r="G17" s="402" t="str">
        <f>IF(ISNUMBER(IF(D_I="SI",Datos!K17,Datos!K17+Datos!AE17)),IF(D_I="SI",Datos!K17,Datos!K17+Datos!AE17)," - ")</f>
        <v xml:space="preserve"> - </v>
      </c>
      <c r="H17" s="403" t="str">
        <f>IF(ISNUMBER(G17/B17),G17/B17," - ")</f>
        <v xml:space="preserve"> - </v>
      </c>
      <c r="I17" s="402" t="str">
        <f>IF(ISNUMBER(IF(D_I="SI",Datos!L17,Datos!L17+Datos!AF17)),IF(D_I="SI",Datos!L17,Datos!L17+Datos!AF17)," - ")</f>
        <v xml:space="preserve"> - </v>
      </c>
      <c r="J17" s="403" t="str">
        <f>IF(ISNUMBER(I17/B17),I17/B17," - ")</f>
        <v xml:space="preserve"> - </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103</v>
      </c>
      <c r="D18" s="403">
        <f>IF(ISNUMBER(C18/Datos!BH18),C18/Datos!BH18," - ")</f>
        <v>103</v>
      </c>
      <c r="E18" s="402">
        <f>IF(ISNUMBER(IF(D_I="SI",Datos!J18,Datos!J18+Datos!AD18)),IF(D_I="SI",Datos!J18,Datos!J18+Datos!AD18)," - ")</f>
        <v>392</v>
      </c>
      <c r="F18" s="403">
        <f>IF(ISNUMBER(E18/B18),E18/B18," - ")</f>
        <v>392</v>
      </c>
      <c r="G18" s="402">
        <f>IF(ISNUMBER(IF(D_I="SI",Datos!K18,Datos!K18+Datos!AE18)),IF(D_I="SI",Datos!K18,Datos!K18+Datos!AE18)," - ")</f>
        <v>360</v>
      </c>
      <c r="H18" s="403">
        <f>IF(ISNUMBER(G18/B18),G18/B18," - ")</f>
        <v>360</v>
      </c>
      <c r="I18" s="402">
        <f>IF(ISNUMBER(IF(D_I="SI",Datos!L18,Datos!L18+Datos!AF18)),IF(D_I="SI",Datos!L18,Datos!L18+Datos!AF18)," - ")</f>
        <v>152</v>
      </c>
      <c r="J18" s="403">
        <f>IF(ISNUMBER(I18/B18),I18/B18," - ")</f>
        <v>152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2779</v>
      </c>
      <c r="D19" s="847" t="str">
        <f>IF(ISNUMBER(C19/Datos!BI19),C19/Datos!BI19," - ")</f>
        <v xml:space="preserve"> - </v>
      </c>
      <c r="E19" s="846">
        <f>SUBTOTAL(9,E14:E18)</f>
        <v>2633</v>
      </c>
      <c r="F19" s="847">
        <f>IF(ISNUMBER(E19/B19),E19/B19," - ")</f>
        <v>658.25</v>
      </c>
      <c r="G19" s="846">
        <f>SUBTOTAL(9,G14:G18)</f>
        <v>2618</v>
      </c>
      <c r="H19" s="847">
        <f>IF(ISNUMBER(G19/B19),G19/B19," - ")</f>
        <v>654.5</v>
      </c>
      <c r="I19" s="846">
        <f>SUBTOTAL(9,I14:I18)</f>
        <v>2912</v>
      </c>
      <c r="J19" s="847">
        <f>IF(ISNUMBER(I19/B19),I19/B19," - ")</f>
        <v>728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10</v>
      </c>
      <c r="C20" s="791">
        <f>SUBTOTAL(9,C9:C19)</f>
        <v>7208</v>
      </c>
      <c r="D20" s="792" t="str">
        <f>IF(ISNUMBER(C20/Datos!BI20),C20/Datos!BI20," - ")</f>
        <v xml:space="preserve"> - </v>
      </c>
      <c r="E20" s="791">
        <f>SUBTOTAL(9,E9:E19)</f>
        <v>5433</v>
      </c>
      <c r="F20" s="792">
        <f>IF(ISNUMBER(E20/B20),E20/B20," - ")</f>
        <v>543.29999999999995</v>
      </c>
      <c r="G20" s="791">
        <f>SUBTOTAL(9,G9:G19)</f>
        <v>4933</v>
      </c>
      <c r="H20" s="792">
        <f>IF(ISNUMBER(G20/B20),G20/B20," - ")</f>
        <v>493.3</v>
      </c>
      <c r="I20" s="791">
        <f>SUBTOTAL(9,I9:I19)</f>
        <v>7838</v>
      </c>
      <c r="J20" s="792">
        <f>IF(ISNUMBER(I20/B20),I20/B20," - ")</f>
        <v>783.8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lKBFYq0Op8HfUcbDrUy+IFWbn8IeJDhEepMi/JNJp4BDuZjO73n73K834G0zcOeExb3E2/fFWfJ69ifaX9L70A==" saltValue="mFr2UtbHPJtSCw1U60Pja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GANDIA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6</v>
      </c>
      <c r="D9" s="402">
        <f>Datos!BK9</f>
        <v>0</v>
      </c>
      <c r="E9" s="402">
        <f>Datos!AQ9</f>
        <v>6</v>
      </c>
      <c r="F9" s="403">
        <f>IF(ISNUMBER(E9/Datos!BH9),E9/Datos!BH9," - ")</f>
        <v>1</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0</v>
      </c>
      <c r="D12" s="402">
        <f>Datos!BK12</f>
        <v>0</v>
      </c>
      <c r="E12" s="402">
        <f>Datos!AQ12</f>
        <v>0</v>
      </c>
      <c r="F12" s="403" t="str">
        <f>IF(ISNUMBER(E12/Datos!BH12),E12/Datos!BH12," - ")</f>
        <v xml:space="preserve"> - </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3</v>
      </c>
      <c r="D15" s="402">
        <f>Datos!BK15</f>
        <v>0</v>
      </c>
      <c r="E15" s="402">
        <f>Datos!AQ15</f>
        <v>3</v>
      </c>
      <c r="F15" s="403">
        <f>IF(ISNUMBER(E15/Datos!BH15),E15/Datos!BH15," - ")</f>
        <v>1</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0</v>
      </c>
      <c r="D17" s="402">
        <f>Datos!BK17</f>
        <v>0</v>
      </c>
      <c r="E17" s="402">
        <f>Datos!AQ17</f>
        <v>0</v>
      </c>
      <c r="F17" s="403" t="str">
        <f>IF(ISNUMBER(E17/Datos!BH17),E17/Datos!BH17," - ")</f>
        <v xml:space="preserve"> - </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ifkVNpI4SvqiYtinXqAczBpckEJJtNmo7yMRRc9yK1IKr8y71XBBJBMGP8whpIEPlEb2za3Vck3pTOhvaSB4Ng==" saltValue="SlKQaGQh2+BZhw/yjBf5B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GANDIA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6</v>
      </c>
      <c r="C9" s="409">
        <f>Datos!AQ9</f>
        <v>6</v>
      </c>
      <c r="D9" s="402">
        <f>IF(ISNUMBER(Datos!M9),Datos!M9," - ")</f>
        <v>575</v>
      </c>
      <c r="E9" s="403">
        <f t="shared" ref="E9:E13" si="0">IF(ISNUMBER(D9/B9),D9/B9," - ")</f>
        <v>95.833333333333329</v>
      </c>
      <c r="F9" s="402">
        <f>IF(ISNUMBER(Datos!N9),Datos!N9," - ")</f>
        <v>991</v>
      </c>
      <c r="G9" s="403">
        <f t="shared" ref="G9:G13" si="1">IF(ISNUMBER(F9/B9),F9/B9," - ")</f>
        <v>165.16666666666666</v>
      </c>
      <c r="H9" s="402">
        <f>IF(ISNUMBER(Datos!O9),Datos!O9," - ")</f>
        <v>1101</v>
      </c>
      <c r="I9" s="403">
        <f>IF(ISNUMBER(H9/B9),H9/B9," - ")</f>
        <v>183.5</v>
      </c>
      <c r="BZ9" s="1181">
        <f>Datos!EZ9</f>
        <v>0</v>
      </c>
    </row>
    <row r="10" spans="1:78">
      <c r="A10" s="401" t="str">
        <f>Datos!A10</f>
        <v>Sección De Violencia sobre la Mujer del TI</v>
      </c>
      <c r="B10" s="426">
        <f>Datos!AO10</f>
        <v>1</v>
      </c>
      <c r="C10" s="409">
        <f>Datos!AQ10</f>
        <v>1</v>
      </c>
      <c r="D10" s="402">
        <f>IF(ISNUMBER(Datos!M10),Datos!M10," - ")</f>
        <v>12</v>
      </c>
      <c r="E10" s="403">
        <f>IF(ISNUMBER(D10/B10),D10/B10," - ")</f>
        <v>12</v>
      </c>
      <c r="F10" s="402">
        <f>IF(ISNUMBER(Datos!N10),Datos!N10," - ")</f>
        <v>9</v>
      </c>
      <c r="G10" s="403">
        <f>IF(ISNUMBER(F10/B10),F10/B10," - ")</f>
        <v>9</v>
      </c>
      <c r="H10" s="402">
        <f>IF(ISNUMBER(Datos!O10),Datos!O10," - ")</f>
        <v>7</v>
      </c>
      <c r="I10" s="403">
        <f t="shared" ref="I10:I12" si="2">IF(ISNUMBER(H10/B10),H10/B10," - ")</f>
        <v>7</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0</v>
      </c>
      <c r="C12" s="409">
        <f>Datos!AQ12</f>
        <v>0</v>
      </c>
      <c r="D12" s="402" t="str">
        <f>IF(ISNUMBER(Datos!M12),Datos!M12," - ")</f>
        <v xml:space="preserve"> - </v>
      </c>
      <c r="E12" s="403" t="str">
        <f t="shared" si="0"/>
        <v xml:space="preserve"> - </v>
      </c>
      <c r="F12" s="402" t="str">
        <f>IF(ISNUMBER(Datos!N12),Datos!N12," - ")</f>
        <v xml:space="preserve"> - </v>
      </c>
      <c r="G12" s="403" t="str">
        <f t="shared" si="1"/>
        <v xml:space="preserve"> - </v>
      </c>
      <c r="H12" s="402" t="str">
        <f>IF(ISNUMBER(Datos!O12),Datos!O12," - ")</f>
        <v xml:space="preserve"> - </v>
      </c>
      <c r="I12" s="403" t="str">
        <f t="shared" si="2"/>
        <v xml:space="preserve"> - </v>
      </c>
      <c r="BZ12" s="1181">
        <f>Datos!EZ12</f>
        <v>0</v>
      </c>
    </row>
    <row r="13" spans="1:78" ht="14.25" thickTop="1" thickBot="1">
      <c r="A13" s="845" t="str">
        <f>Datos!A13</f>
        <v>TOTAL</v>
      </c>
      <c r="B13" s="846">
        <f>Datos!AP13</f>
        <v>7</v>
      </c>
      <c r="C13" s="848">
        <f>Datos!AR13</f>
        <v>7</v>
      </c>
      <c r="D13" s="846">
        <f>SUBTOTAL(9,D9:D12)</f>
        <v>587</v>
      </c>
      <c r="E13" s="847">
        <f t="shared" si="0"/>
        <v>83.857142857142861</v>
      </c>
      <c r="F13" s="846">
        <f>SUBTOTAL(9,F9:F12)</f>
        <v>1000</v>
      </c>
      <c r="G13" s="847">
        <f t="shared" si="1"/>
        <v>142.85714285714286</v>
      </c>
      <c r="H13" s="846">
        <f>SUBTOTAL(9,H9:H12)</f>
        <v>1108</v>
      </c>
      <c r="I13" s="847">
        <f>IF(ISNUMBER(H13/B13),H13/B13," - ")</f>
        <v>158.28571428571428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3</v>
      </c>
      <c r="C15" s="427">
        <f>Datos!AQ15</f>
        <v>3</v>
      </c>
      <c r="D15" s="402">
        <f>IF(ISNUMBER(Datos!M15),Datos!M15," - ")</f>
        <v>412</v>
      </c>
      <c r="E15" s="403">
        <f t="shared" ref="E15:E19" si="3">IF(ISNUMBER(D15/B15),D15/B15," - ")</f>
        <v>137.33333333333334</v>
      </c>
      <c r="F15" s="402">
        <f>IF(ISNUMBER(Datos!N15),Datos!N15," - ")</f>
        <v>1167</v>
      </c>
      <c r="G15" s="403">
        <f t="shared" ref="G15:G19" si="4">IF(ISNUMBER(F15/B15),F15/B15," - ")</f>
        <v>389</v>
      </c>
      <c r="H15" s="402">
        <f>IF(ISNUMBER(Datos!O15),Datos!O15," - ")</f>
        <v>58</v>
      </c>
      <c r="I15" s="403">
        <f t="shared" ref="I15:I18" si="5">IF(ISNUMBER(H15/B15),H15/B15," - ")</f>
        <v>19.333333333333332</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0</v>
      </c>
      <c r="C17" s="427">
        <f>Datos!AQ17</f>
        <v>0</v>
      </c>
      <c r="D17" s="402" t="str">
        <f>IF(ISNUMBER(Datos!M17),Datos!M17," - ")</f>
        <v xml:space="preserve"> - </v>
      </c>
      <c r="E17" s="403" t="str">
        <f t="shared" si="3"/>
        <v xml:space="preserve"> - </v>
      </c>
      <c r="F17" s="402" t="str">
        <f>IF(ISNUMBER(Datos!N17),Datos!N17," - ")</f>
        <v xml:space="preserve"> - </v>
      </c>
      <c r="G17" s="403" t="str">
        <f t="shared" si="4"/>
        <v xml:space="preserve"> - </v>
      </c>
      <c r="H17" s="402" t="str">
        <f>IF(ISNUMBER(Datos!O17),Datos!O17," - ")</f>
        <v xml:space="preserve"> - </v>
      </c>
      <c r="I17" s="403" t="str">
        <f t="shared" si="5"/>
        <v xml:space="preserve"> - </v>
      </c>
      <c r="BZ17" s="1181">
        <f>Datos!EZ17</f>
        <v>0</v>
      </c>
    </row>
    <row r="18" spans="1:78" ht="13.5" thickBot="1">
      <c r="A18" s="401" t="str">
        <f>Datos!A18</f>
        <v>Sección De Violencia sobre la Mujer del TI</v>
      </c>
      <c r="B18" s="426">
        <f>Datos!AO18</f>
        <v>1</v>
      </c>
      <c r="C18" s="427">
        <f>Datos!AQ18</f>
        <v>1</v>
      </c>
      <c r="D18" s="402">
        <f>IF(ISNUMBER(Datos!M18),Datos!M18," - ")</f>
        <v>90</v>
      </c>
      <c r="E18" s="403">
        <f>IF(ISNUMBER(D18/B18),D18/B18," - ")</f>
        <v>90</v>
      </c>
      <c r="F18" s="402">
        <f>IF(ISNUMBER(Datos!N18),Datos!N18," - ")</f>
        <v>202</v>
      </c>
      <c r="G18" s="403">
        <f>IF(ISNUMBER(F18/B18),F18/B18," - ")</f>
        <v>202</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502</v>
      </c>
      <c r="E19" s="847">
        <f t="shared" si="3"/>
        <v>125.5</v>
      </c>
      <c r="F19" s="846">
        <f>SUBTOTAL(9,F15:F18)</f>
        <v>1369</v>
      </c>
      <c r="G19" s="847">
        <f t="shared" si="4"/>
        <v>342.25</v>
      </c>
      <c r="H19" s="846">
        <f>SUBTOTAL(9,H15:H18)</f>
        <v>58</v>
      </c>
      <c r="I19" s="847">
        <f>IF(ISNUMBER(H19/B19),H19/B19," - ")</f>
        <v>14.5</v>
      </c>
      <c r="BZ19" s="1181"/>
    </row>
    <row r="20" spans="1:78" ht="14.25" thickTop="1" thickBot="1">
      <c r="A20" s="790" t="str">
        <f>Datos!A20</f>
        <v>TOTAL JURISDICCIONES</v>
      </c>
      <c r="B20" s="791">
        <f>Datos!AP20</f>
        <v>10</v>
      </c>
      <c r="C20" s="791">
        <f>Datos!AR20</f>
        <v>10</v>
      </c>
      <c r="D20" s="791">
        <f>SUBTOTAL(9,D8:D19)</f>
        <v>1089</v>
      </c>
      <c r="E20" s="792">
        <f>IF(ISNUMBER(D20/B20),D20/B20," - ")</f>
        <v>108.9</v>
      </c>
      <c r="F20" s="791">
        <f>SUBTOTAL(9,F8:F19)</f>
        <v>2369</v>
      </c>
      <c r="G20" s="792">
        <f>IF(ISNUMBER(F20/B20),F20/B20," - ")</f>
        <v>236.9</v>
      </c>
      <c r="H20" s="791">
        <f>SUBTOTAL(9,H8:H19)</f>
        <v>1166</v>
      </c>
      <c r="I20" s="792">
        <f>IF(ISNUMBER(H20/B20),H20/B20," - ")</f>
        <v>116.6</v>
      </c>
    </row>
    <row r="23" spans="1:78">
      <c r="A23" s="390" t="str">
        <f>Criterios!A4</f>
        <v>Fecha Informe: 06 oct. 2026</v>
      </c>
    </row>
    <row r="28" spans="1:78">
      <c r="A28" s="413"/>
    </row>
  </sheetData>
  <sheetProtection algorithmName="SHA-512" hashValue="O6MngyJ+FnP0NEmuHlRrLxs/Mz/pduezuXfeRHRvS9lBTA2G24ZnzQFKTVkSTFz4IaFc4f1MbAAO5sgKvkwKag==" saltValue="Cq71ygUMrrLjNj2/ElTke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GANDIA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f>IF(ISNUMBER(Datos!P9),Datos!P9," - ")</f>
        <v>476</v>
      </c>
      <c r="C9" s="433">
        <f>IF(ISNUMBER(Datos!Q9),Datos!Q9," - ")</f>
        <v>697</v>
      </c>
      <c r="D9" s="407">
        <f>IF(ISNUMBER(Datos!R9),Datos!R9," - ")</f>
        <v>7794</v>
      </c>
    </row>
    <row r="10" spans="1:4">
      <c r="A10" s="401" t="str">
        <f>Datos!A10</f>
        <v>Sección De Violencia sobre la Mujer del TI</v>
      </c>
      <c r="B10" s="432">
        <f>IF(ISNUMBER(Datos!P10),Datos!P10," - ")</f>
        <v>15</v>
      </c>
      <c r="C10" s="433">
        <f>IF(ISNUMBER(Datos!Q10),Datos!Q10," - ")</f>
        <v>35</v>
      </c>
      <c r="D10" s="407">
        <f>IF(ISNUMBER(Datos!R10),Datos!R10," - ")</f>
        <v>62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t="str">
        <f>IF(ISNUMBER(Datos!P12),Datos!P12," - ")</f>
        <v xml:space="preserve"> - </v>
      </c>
      <c r="C12" s="433" t="str">
        <f>IF(ISNUMBER(Datos!Q12),Datos!Q12," - ")</f>
        <v xml:space="preserve"> - </v>
      </c>
      <c r="D12" s="407" t="str">
        <f>IF(ISNUMBER(Datos!R12),Datos!R12," - ")</f>
        <v xml:space="preserve"> - </v>
      </c>
    </row>
    <row r="13" spans="1:4" ht="14.25" thickTop="1" thickBot="1">
      <c r="A13" s="845" t="str">
        <f>Datos!A13</f>
        <v>TOTAL</v>
      </c>
      <c r="B13" s="846">
        <f>SUBTOTAL(9,B9:B12)</f>
        <v>491</v>
      </c>
      <c r="C13" s="850">
        <f>SUBTOTAL(9,C9:C12)</f>
        <v>732</v>
      </c>
      <c r="D13" s="848">
        <f>SUBTOTAL(9,D9:D12)</f>
        <v>7856</v>
      </c>
    </row>
    <row r="14" spans="1:4" ht="13.5" thickTop="1">
      <c r="A14" s="395" t="str">
        <f>Datos!A14</f>
        <v xml:space="preserve">Jurisdicción Penal ( 2 ):                      </v>
      </c>
      <c r="B14" s="405"/>
      <c r="C14" s="434"/>
      <c r="D14" s="407"/>
    </row>
    <row r="15" spans="1:4">
      <c r="A15" s="401" t="str">
        <f>Datos!A15</f>
        <v xml:space="preserve">Seccion Instruccion Del T.I.                   </v>
      </c>
      <c r="B15" s="432">
        <f>IF(ISNUMBER(Datos!P15),Datos!P15," - ")</f>
        <v>139</v>
      </c>
      <c r="C15" s="433">
        <f>IF(ISNUMBER(Datos!Q15),Datos!Q15," - ")</f>
        <v>110</v>
      </c>
      <c r="D15" s="407">
        <f>IF(ISNUMBER(Datos!R15),Datos!R15," - ")</f>
        <v>394</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t="str">
        <f>IF(ISNUMBER(Datos!P17),Datos!P17," - ")</f>
        <v xml:space="preserve"> - </v>
      </c>
      <c r="C17" s="433" t="str">
        <f>IF(ISNUMBER(Datos!Q17),Datos!Q17," - ")</f>
        <v xml:space="preserve"> - </v>
      </c>
      <c r="D17" s="407" t="str">
        <f>IF(ISNUMBER(Datos!R17),Datos!R17," - ")</f>
        <v xml:space="preserve"> - </v>
      </c>
    </row>
    <row r="18" spans="1:4" ht="13.5" thickBot="1">
      <c r="A18" s="401" t="str">
        <f>Datos!A18</f>
        <v>Sección De Violencia sobre la Mujer del TI</v>
      </c>
      <c r="B18" s="432">
        <f>IF(ISNUMBER(Datos!P18),Datos!P18," - ")</f>
        <v>12</v>
      </c>
      <c r="C18" s="433">
        <f>IF(ISNUMBER(Datos!Q18),Datos!Q18," - ")</f>
        <v>11</v>
      </c>
      <c r="D18" s="407">
        <f>IF(ISNUMBER(Datos!R18),Datos!R18," - ")</f>
        <v>16</v>
      </c>
    </row>
    <row r="19" spans="1:4" ht="14.25" thickTop="1" thickBot="1">
      <c r="A19" s="845" t="str">
        <f>Datos!A19</f>
        <v>TOTAL</v>
      </c>
      <c r="B19" s="846">
        <f>SUBTOTAL(9,B15:B18)</f>
        <v>151</v>
      </c>
      <c r="C19" s="850">
        <f>SUBTOTAL(9,C15:C18)</f>
        <v>121</v>
      </c>
      <c r="D19" s="848">
        <f>SUBTOTAL(9,D15:D18)</f>
        <v>410</v>
      </c>
    </row>
    <row r="20" spans="1:4" ht="16.5" customHeight="1" thickTop="1" thickBot="1">
      <c r="A20" s="790" t="str">
        <f>Datos!A20</f>
        <v>TOTAL JURISDICCIONES</v>
      </c>
      <c r="B20" s="795">
        <f>SUBTOTAL(9,B8:B19)</f>
        <v>642</v>
      </c>
      <c r="C20" s="796">
        <f>SUBTOTAL(9,C8:C19)</f>
        <v>853</v>
      </c>
      <c r="D20" s="797">
        <f>SUBTOTAL(9,D8:D19)</f>
        <v>8266</v>
      </c>
    </row>
    <row r="21" spans="1:4" ht="7.5" customHeight="1"/>
    <row r="22" spans="1:4" ht="6" customHeight="1"/>
    <row r="23" spans="1:4">
      <c r="A23" s="390" t="str">
        <f>Criterios!A4</f>
        <v>Fecha Informe: 06 oct. 2026</v>
      </c>
    </row>
    <row r="28" spans="1:4">
      <c r="A28" s="413"/>
    </row>
  </sheetData>
  <sheetProtection algorithmName="SHA-512" hashValue="c7E5799R3Y+wUiBiBKrxV3U0NtTSvncGNi3nzkph7QYS9LYwH3YDLmI+0WtLsbKV3IPKH8VwZwTbVBqYfU4rOg==" saltValue="zVVpipUWtAiz5aej6Xs3m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GANDIA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f>IF(ISNUMBER(
   IF(J_V="SI",(Datos!I9-Datos!S9)/Datos!S9,(Datos!I9+Datos!Y9-(Datos!S9+Datos!AG9))/(Datos!S9+Datos!AG9))
     ),IF(J_V="SI",(Datos!I9-Datos!S9)/Datos!S9,(Datos!I9+Datos!Y9-(Datos!S9+Datos!AG9))/(Datos!S9+Datos!AG9))," - ")</f>
        <v>-0.30476649012999518</v>
      </c>
      <c r="C9" s="455">
        <f>IF(ISNUMBER(
   IF(J_V="SI",(Datos!J9-Datos!T9)/Datos!T9,(Datos!J9+Datos!Z9-(Datos!T9+Datos!AH9))/(Datos!T9+Datos!AH9))
     ),IF(J_V="SI",(Datos!J9-Datos!T9)/Datos!T9,(Datos!J9+Datos!Z9-(Datos!T9+Datos!AH9))/(Datos!T9+Datos!AH9))," - ")</f>
        <v>-0.13701622971285893</v>
      </c>
      <c r="D9" s="455">
        <f>IF(ISNUMBER(
   IF(J_V="SI",(Datos!K9-Datos!U9)/Datos!U9,(Datos!K9+Datos!AA9-(Datos!U9+Datos!AI9))/(Datos!U9+Datos!AI9))
     ),IF(J_V="SI",(Datos!K9-Datos!U9)/Datos!U9,(Datos!K9+Datos!AA9-(Datos!U9+Datos!AI9))/(Datos!U9+Datos!AI9))," - ")</f>
        <v>-0.38496644295302013</v>
      </c>
      <c r="E9" s="455">
        <f>IF(ISNUMBER(
   IF(J_V="SI",(Datos!L9-Datos!V9)/Datos!V9,(Datos!L9+Datos!AB9-(Datos!V9+Datos!AJ9))/(Datos!V9+Datos!AJ9))
     ),IF(J_V="SI",(Datos!L9-Datos!V9)/Datos!V9,(Datos!L9+Datos!AB9-(Datos!V9+Datos!AJ9))/(Datos!V9+Datos!AJ9))," - ")</f>
        <v>-0.15281690140845069</v>
      </c>
      <c r="F9" s="455">
        <f>IF(ISNUMBER((Datos!M9-Datos!W9)/Datos!W9),(Datos!M9-Datos!W9)/Datos!W9," - ")</f>
        <v>-0.10990712074303406</v>
      </c>
      <c r="G9" s="456">
        <f>IF(ISNUMBER((Datos!N9-Datos!X9)/Datos!X9),(Datos!N9-Datos!X9)/Datos!X9," - ")</f>
        <v>-0.42484039466047591</v>
      </c>
      <c r="H9" s="454">
        <f>IF(ISNUMBER(((NºAsuntos!G9/NºAsuntos!E9)-Datos!BD9)/Datos!BD9),((NºAsuntos!G9/NºAsuntos!E9)-Datos!BD9)/Datos!BD9," - ")</f>
        <v>-0.2873173537871524</v>
      </c>
      <c r="I9" s="455">
        <f>IF(ISNUMBER(((NºAsuntos!I9/NºAsuntos!G9)-Datos!BE9)/Datos!BE9),((NºAsuntos!I9/NºAsuntos!G9)-Datos!BE9)/Datos!BE9," - ")</f>
        <v>0.37745833358948955</v>
      </c>
      <c r="J9" s="460">
        <f>IF(ISNUMBER((('Resol  Asuntos'!D9/NºAsuntos!G9)-Datos!BF9)/Datos!BF9),(('Resol  Asuntos'!D9/NºAsuntos!G9)-Datos!BF9)/Datos!BF9," - ")</f>
        <v>-0.45739504528685132</v>
      </c>
      <c r="K9" s="461">
        <f>IF(ISNUMBER((((NºAsuntos!C9+NºAsuntos!E9)/NºAsuntos!G9)-Datos!BG9)/Datos!BG9),(((NºAsuntos!C9+NºAsuntos!E9)/NºAsuntos!G9)-Datos!BG9)/Datos!BG9," - ")</f>
        <v>0.22302149120646061</v>
      </c>
    </row>
    <row r="10" spans="1:11" ht="21">
      <c r="A10" s="401" t="str">
        <f>Datos!A10</f>
        <v>Sección De Violencia sobre la Mujer del TI</v>
      </c>
      <c r="B10" s="454">
        <f>IF(ISNUMBER((Datos!I10-Datos!S10)/Datos!S10),(Datos!I10-Datos!S10)/Datos!S10," - ")</f>
        <v>8.98876404494382E-2</v>
      </c>
      <c r="C10" s="455">
        <f>IF(ISNUMBER((Datos!J10-Datos!T10)/Datos!T10),(Datos!J10-Datos!T10)/Datos!T10," - ")</f>
        <v>0.20689655172413793</v>
      </c>
      <c r="D10" s="455">
        <f>IF(ISNUMBER((Datos!K10-Datos!U10)/Datos!U10),(Datos!K10-Datos!U10)/Datos!U10," - ")</f>
        <v>-0.1111111111111111</v>
      </c>
      <c r="E10" s="455">
        <f>IF(ISNUMBER((Datos!L10-Datos!V10)/Datos!V10),(Datos!L10-Datos!V10)/Datos!V10," - ")</f>
        <v>0.25274725274725274</v>
      </c>
      <c r="F10" s="455">
        <f>IF(ISNUMBER((Datos!M10-Datos!W10)/Datos!W10),(Datos!M10-Datos!W10)/Datos!W10," - ")</f>
        <v>9.0909090909090912E-2</v>
      </c>
      <c r="G10" s="456">
        <f>IF(ISNUMBER((Datos!N10-Datos!X10)/Datos!X10),(Datos!N10-Datos!X10)/Datos!X10," - ")</f>
        <v>0.125</v>
      </c>
      <c r="H10" s="454">
        <f>IF(ISNUMBER(((NºAsuntos!G10/NºAsuntos!E10)-Datos!BD10)/Datos!BD10),((NºAsuntos!G10/NºAsuntos!E10)-Datos!BD10)/Datos!BD10," - ")</f>
        <v>-0.26349206349206344</v>
      </c>
      <c r="I10" s="455">
        <f>IF(ISNUMBER(((NºAsuntos!I10/NºAsuntos!G10)-Datos!BE10)/Datos!BE10),((NºAsuntos!I10/NºAsuntos!G10)-Datos!BE10)/Datos!BE10," - ")</f>
        <v>0.40934065934065939</v>
      </c>
      <c r="J10" s="460">
        <f>IF(ISNUMBER((('Resol  Asuntos'!D10/NºAsuntos!G10)-Datos!BF10)/Datos!BF10),(('Resol  Asuntos'!D10/NºAsuntos!G10)-Datos!BF10)/Datos!BF10," - ")</f>
        <v>0.22727272727272735</v>
      </c>
      <c r="K10" s="461">
        <f>IF(ISNUMBER((((NºAsuntos!C10+NºAsuntos!E10)/NºAsuntos!G10)-Datos!BG10)/Datos!BG10),(((NºAsuntos!C10+NºAsuntos!E10)/NºAsuntos!G10)-Datos!BG10)/Datos!BG10," - ")</f>
        <v>0.25847457627118647</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t="str">
        <f>IF(ISNUMBER(
   IF(J_V="SI",(Datos!I12-Datos!S12)/Datos!S12,(Datos!I12+Datos!Y12-(Datos!S12+Datos!AG12))/(Datos!S12+Datos!AG12))
     ),IF(J_V="SI",(Datos!I12-Datos!S12)/Datos!S12,(Datos!I12+Datos!Y12-(Datos!S12+Datos!AG12))/(Datos!S12+Datos!AG12))," - ")</f>
        <v xml:space="preserve"> - </v>
      </c>
      <c r="C12" s="455" t="str">
        <f>IF(ISNUMBER(
   IF(J_V="SI",(Datos!J12-Datos!T12)/Datos!T12,(Datos!J12+Datos!Z12-(Datos!T12+Datos!AH12))/(Datos!T12+Datos!AH12))
     ),IF(J_V="SI",(Datos!J12-Datos!T12)/Datos!T12,(Datos!J12+Datos!Z12-(Datos!T12+Datos!AH12))/(Datos!T12+Datos!AH12))," - ")</f>
        <v xml:space="preserve"> - </v>
      </c>
      <c r="D12" s="455" t="str">
        <f>IF(ISNUMBER(
   IF(J_V="SI",(Datos!K12-Datos!U12)/Datos!U12,(Datos!K12+Datos!AA12-(Datos!U12+Datos!AI12))/(Datos!U12+Datos!AI12))
     ),IF(J_V="SI",(Datos!K12-Datos!U12)/Datos!U12,(Datos!K12+Datos!AA12-(Datos!U12+Datos!AI12))/(Datos!U12+Datos!AI12))," - ")</f>
        <v xml:space="preserve"> - </v>
      </c>
      <c r="E12" s="455" t="str">
        <f>IF(ISNUMBER(
   IF(J_V="SI",(Datos!L12-Datos!V12)/Datos!V12,(Datos!L12+Datos!AB12-(Datos!V12+Datos!AJ12))/(Datos!V12+Datos!AJ12))
     ),IF(J_V="SI",(Datos!L12-Datos!V12)/Datos!V12,(Datos!L12+Datos!AB12-(Datos!V12+Datos!AJ12))/(Datos!V12+Datos!AJ12))," - ")</f>
        <v xml:space="preserve"> - </v>
      </c>
      <c r="F12" s="455" t="str">
        <f>IF(ISNUMBER((Datos!M12-Datos!W12)/Datos!W12),(Datos!M12-Datos!W12)/Datos!W12," - ")</f>
        <v xml:space="preserve"> - </v>
      </c>
      <c r="G12" s="456" t="str">
        <f>IF(ISNUMBER((Datos!N12-Datos!X12)/Datos!X12),(Datos!N12-Datos!X12)/Datos!X12," - ")</f>
        <v xml:space="preserve"> - </v>
      </c>
      <c r="H12" s="454" t="str">
        <f>IF(ISNUMBER(((NºAsuntos!G12/NºAsuntos!E12)-Datos!BD12)/Datos!BD12),((NºAsuntos!G12/NºAsuntos!E12)-Datos!BD12)/Datos!BD12," - ")</f>
        <v xml:space="preserve"> - </v>
      </c>
      <c r="I12" s="455" t="str">
        <f>IF(ISNUMBER(((NºAsuntos!I12/NºAsuntos!G12)-Datos!BE12)/Datos!BE12),((NºAsuntos!I12/NºAsuntos!G12)-Datos!BE12)/Datos!BE12," - ")</f>
        <v xml:space="preserve"> - </v>
      </c>
      <c r="J12" s="460" t="str">
        <f>IF(ISNUMBER((('Resol  Asuntos'!D12/NºAsuntos!G12)-Datos!BF12)/Datos!BF12),(('Resol  Asuntos'!D12/NºAsuntos!G12)-Datos!BF12)/Datos!BF12," - ")</f>
        <v xml:space="preserve"> - </v>
      </c>
      <c r="K12" s="461" t="str">
        <f>IF(ISNUMBER((((NºAsuntos!C12+NºAsuntos!E12)/NºAsuntos!G12)-Datos!BG12)/Datos!BG12),(((NºAsuntos!C12+NºAsuntos!E12)/NºAsuntos!G12)-Datos!BG12)/Datos!BG12," - ")</f>
        <v xml:space="preserve"> - </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-0.29920886075949366</v>
      </c>
      <c r="C13" s="852">
        <f>IF(ISNUMBER(
   IF(J_V="SI",(Datos!J13-Datos!T13)/Datos!T13,(Datos!J13+Datos!Z13-(Datos!T13+Datos!AH13))/(Datos!T13+Datos!AH13))
     ),IF(J_V="SI",(Datos!J13-Datos!T13)/Datos!T13,(Datos!J13+Datos!Z13-(Datos!T13+Datos!AH13))/(Datos!T13+Datos!AH13))," - ")</f>
        <v>-0.13393133312712652</v>
      </c>
      <c r="D13" s="852">
        <f>IF(ISNUMBER(
   IF(J_V="SI",(Datos!K13-Datos!U13)/Datos!U13,(Datos!K13+Datos!AA13-(Datos!U13+Datos!AI13))/(Datos!U13+Datos!AI13))
     ),IF(J_V="SI",(Datos!K13-Datos!U13)/Datos!U13,(Datos!K13+Datos!AA13-(Datos!U13+Datos!AI13))/(Datos!U13+Datos!AI13))," - ")</f>
        <v>-0.38299573560767591</v>
      </c>
      <c r="E13" s="852">
        <f>IF(ISNUMBER(
   IF(J_V="SI",(Datos!L13-Datos!V13)/Datos!V13,(Datos!L13+Datos!AB13-(Datos!V13+Datos!AJ13))/(Datos!V13+Datos!AJ13))
     ),IF(J_V="SI",(Datos!L13-Datos!V13)/Datos!V13,(Datos!L13+Datos!AB13-(Datos!V13+Datos!AJ13))/(Datos!V13+Datos!AJ13))," - ")</f>
        <v>-0.14642176399237566</v>
      </c>
      <c r="F13" s="853">
        <f>IF(ISNUMBER((Datos!M13-Datos!W13)/Datos!W13),(Datos!M13-Datos!W13)/Datos!W13," - ")</f>
        <v>-0.106544901065449</v>
      </c>
      <c r="G13" s="854">
        <f>IF(ISNUMBER((Datos!N13-Datos!X13)/Datos!X13),(Datos!N13-Datos!X13)/Datos!X13," - ")</f>
        <v>-0.42229924898902371</v>
      </c>
      <c r="H13" s="854">
        <f>IF(ISNUMBER(((NºAsuntos!G13/NºAsuntos!E13)-Datos!BD13)/Datos!BD13),((NºAsuntos!G13/NºAsuntos!E13)-Datos!BD13)/Datos!BD13," - ")</f>
        <v>-0.28758043329272009</v>
      </c>
      <c r="I13" s="854">
        <f>IF(ISNUMBER(((NºAsuntos!I13/NºAsuntos!G13)-Datos!BE13)/Datos!BE13),((NºAsuntos!I13/NºAsuntos!G13)-Datos!BE13)/Datos!BE13," - ")</f>
        <v>0.38342356004345846</v>
      </c>
      <c r="J13" s="854">
        <f>IF(ISNUMBER((('Resol  Asuntos'!D13/NºAsuntos!G13)-Datos!BF13)/Datos!BF13),(('Resol  Asuntos'!D13/NºAsuntos!G13)-Datos!BF13)/Datos!BF13," - ")</f>
        <v>-0.45134310362437446</v>
      </c>
      <c r="K13" s="854">
        <f>IF(ISNUMBER((((NºAsuntos!C13+NºAsuntos!E13)/NºAsuntos!G13)-Datos!BG13)/Datos!BG13),(((NºAsuntos!C13+NºAsuntos!E13)/NºAsuntos!G13)-Datos!BG13)/Datos!BG13," - ")</f>
        <v>0.22645122505137291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f>IF(ISNUMBER(
   IF(D_I="SI",(Datos!I15-Datos!S15)/Datos!S15,(Datos!I15+Datos!AC15-(Datos!S15+Datos!AK15))/(Datos!S15+Datos!AK15))
     ),IF(D_I="SI",(Datos!I15-Datos!S15)/Datos!S15,(Datos!I15+Datos!AC15-(Datos!S15+Datos!AK15))/(Datos!S15+Datos!AK15))," - ")</f>
        <v>0.21581099500227169</v>
      </c>
      <c r="C15" s="455">
        <f>IF(ISNUMBER(
   IF(D_I="SI",(Datos!J15-Datos!T15)/Datos!T15,(Datos!J15+Datos!AD15-(Datos!T15+Datos!AL15))/(Datos!T15+Datos!AL15))
     ),IF(D_I="SI",(Datos!J15-Datos!T15)/Datos!T15,(Datos!J15+Datos!AD15-(Datos!T15+Datos!AL15))/(Datos!T15+Datos!AL15))," - ")</f>
        <v>6.6634935744883383E-2</v>
      </c>
      <c r="D15" s="455">
        <f>IF(ISNUMBER(
   IF(D_I="SI",(Datos!K15-Datos!U15)/Datos!U15,(Datos!K15+Datos!AE15-(Datos!U15+Datos!AM15))/(Datos!U15+Datos!AM15))
     ),IF(D_I="SI",(Datos!K15-Datos!U15)/Datos!U15,(Datos!K15+Datos!AE15-(Datos!U15+Datos!AM15))/(Datos!U15+Datos!AM15))," - ")</f>
        <v>0.12226640159045726</v>
      </c>
      <c r="E15" s="455">
        <f>IF(ISNUMBER(
   IF(D_I="SI",(Datos!L15-Datos!V15)/Datos!V15,(Datos!L15+Datos!AF15-(Datos!V15+Datos!AN15))/(Datos!V15+Datos!AN15))
     ),IF(D_I="SI",(Datos!L15-Datos!V15)/Datos!V15,(Datos!L15+Datos!AF15-(Datos!V15+Datos!AN15))/(Datos!V15+Datos!AN15))," - ")</f>
        <v>0.16161616161616163</v>
      </c>
      <c r="F15" s="455">
        <f>IF(ISNUMBER((Datos!M15-Datos!W15)/Datos!W15),(Datos!M15-Datos!W15)/Datos!W15," - ")</f>
        <v>5.1020408163265307E-2</v>
      </c>
      <c r="G15" s="456">
        <f>IF(ISNUMBER((Datos!N15-Datos!X15)/Datos!X15),(Datos!N15-Datos!X15)/Datos!X15," - ")</f>
        <v>8.9635854341736695E-2</v>
      </c>
      <c r="H15" s="454">
        <f>IF(ISNUMBER(((NºAsuntos!G15/NºAsuntos!E15)-Datos!BD15)/Datos!BD15),((NºAsuntos!G15/NºAsuntos!E15)-Datos!BD15)/Datos!BD15," - ")</f>
        <v>5.2156050754819563E-2</v>
      </c>
      <c r="I15" s="455">
        <f>IF(ISNUMBER(((NºAsuntos!I15/NºAsuntos!G15)-Datos!BE15)/Datos!BE15),((NºAsuntos!I15/NºAsuntos!G15)-Datos!BE15)/Datos!BE15," - ")</f>
        <v>3.5062762254967773E-2</v>
      </c>
      <c r="J15" s="460">
        <f>IF(ISNUMBER((('Resol  Asuntos'!D15/NºAsuntos!G15)-Datos!BF15)/Datos!BF15),(('Resol  Asuntos'!D15/NºAsuntos!G15)-Datos!BF15)/Datos!BF15," - ")</f>
        <v>-6.3484029572856593E-2</v>
      </c>
      <c r="K15" s="461">
        <f>IF(ISNUMBER((((NºAsuntos!C15+NºAsuntos!E15)/NºAsuntos!G15)-Datos!BG15)/Datos!BG15),(((NºAsuntos!C15+NºAsuntos!E15)/NºAsuntos!G15)-Datos!BG15)/Datos!BG15," - ")</f>
        <v>1.843623107302959E-2</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t="str">
        <f>IF(ISNUMBER(
   IF(D_I="SI",(Datos!I17-Datos!S17)/Datos!S17,(Datos!I17+Datos!AC17-(Datos!S17+Datos!AK17))/(Datos!S17+Datos!AK17))
     ),IF(D_I="SI",(Datos!I17-Datos!S17)/Datos!S17,(Datos!I17+Datos!AC17-(Datos!S17+Datos!AK17))/(Datos!S17+Datos!AK17))," - ")</f>
        <v xml:space="preserve"> - </v>
      </c>
      <c r="C17" s="455" t="str">
        <f>IF(ISNUMBER(
   IF(D_I="SI",(Datos!J17-Datos!T17)/Datos!T17,(Datos!J17+Datos!AD17-(Datos!T17+Datos!AL17))/(Datos!T17+Datos!AL17))
     ),IF(D_I="SI",(Datos!J17-Datos!T17)/Datos!T17,(Datos!J17+Datos!AD17-(Datos!T17+Datos!AL17))/(Datos!T17+Datos!AL17))," - ")</f>
        <v xml:space="preserve"> - </v>
      </c>
      <c r="D17" s="455" t="str">
        <f>IF(ISNUMBER(
   IF(D_I="SI",(Datos!K17-Datos!U17)/Datos!U17,(Datos!K17+Datos!AE17-(Datos!U17+Datos!AM17))/(Datos!U17+Datos!AM17))
     ),IF(D_I="SI",(Datos!K17-Datos!U17)/Datos!U17,(Datos!K17+Datos!AE17-(Datos!U17+Datos!AM17))/(Datos!U17+Datos!AM17))," - ")</f>
        <v xml:space="preserve"> - </v>
      </c>
      <c r="E17" s="455" t="str">
        <f>IF(ISNUMBER(
   IF(D_I="SI",(Datos!L17-Datos!V17)/Datos!V17,(Datos!L17+Datos!AF17-(Datos!V17+Datos!AN17))/(Datos!V17+Datos!AN17))
     ),IF(D_I="SI",(Datos!L17-Datos!V17)/Datos!V17,(Datos!L17+Datos!AF17-(Datos!V17+Datos!AN17))/(Datos!V17+Datos!AN17))," - ")</f>
        <v xml:space="preserve"> - </v>
      </c>
      <c r="F17" s="455" t="str">
        <f>IF(ISNUMBER((Datos!M17-Datos!W17)/Datos!W17),(Datos!M17-Datos!W17)/Datos!W17," - ")</f>
        <v xml:space="preserve"> - </v>
      </c>
      <c r="G17" s="456" t="str">
        <f>IF(ISNUMBER((Datos!N17-Datos!X17)/Datos!X17),(Datos!N17-Datos!X17)/Datos!X17," - ")</f>
        <v xml:space="preserve"> - </v>
      </c>
      <c r="H17" s="454" t="str">
        <f>IF(ISNUMBER(((NºAsuntos!G17/NºAsuntos!E17)-Datos!BD17)/Datos!BD17),((NºAsuntos!G17/NºAsuntos!E17)-Datos!BD17)/Datos!BD17," - ")</f>
        <v xml:space="preserve"> - </v>
      </c>
      <c r="I17" s="455" t="str">
        <f>IF(ISNUMBER(((NºAsuntos!I17/NºAsuntos!G17)-Datos!BE17)/Datos!BE17),((NºAsuntos!I17/NºAsuntos!G17)-Datos!BE17)/Datos!BE17," - ")</f>
        <v xml:space="preserve"> - </v>
      </c>
      <c r="J17" s="460" t="str">
        <f>IF(ISNUMBER((('Resol  Asuntos'!D17/NºAsuntos!G17)-Datos!BF17)/Datos!BF17),(('Resol  Asuntos'!D17/NºAsuntos!G17)-Datos!BF17)/Datos!BF17," - ")</f>
        <v xml:space="preserve"> - </v>
      </c>
      <c r="K17" s="461" t="str">
        <f>IF(ISNUMBER((((NºAsuntos!C17+NºAsuntos!E17)/NºAsuntos!G17)-Datos!BG17)/Datos!BG17),(((NºAsuntos!C17+NºAsuntos!E17)/NºAsuntos!G17)-Datos!BG17)/Datos!BG17," - ")</f>
        <v xml:space="preserve"> - </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-0.16935483870967741</v>
      </c>
      <c r="C18" s="455">
        <f>IF(ISNUMBER(
   IF(D_I="SI",(Datos!J18-Datos!T18)/Datos!T18,(Datos!J18+Datos!AD18-(Datos!T18+Datos!AL18))/(Datos!T18+Datos!AL18))
     ),IF(D_I="SI",(Datos!J18-Datos!T18)/Datos!T18,(Datos!J18+Datos!AD18-(Datos!T18+Datos!AL18))/(Datos!T18+Datos!AL18))," - ")</f>
        <v>0.55555555555555558</v>
      </c>
      <c r="D18" s="455">
        <f>IF(ISNUMBER(
   IF(D_I="SI",(Datos!K18-Datos!U18)/Datos!U18,(Datos!K18+Datos!AE18-(Datos!U18+Datos!AM18))/(Datos!U18+Datos!AM18))
     ),IF(D_I="SI",(Datos!K18-Datos!U18)/Datos!U18,(Datos!K18+Datos!AE18-(Datos!U18+Datos!AM18))/(Datos!U18+Datos!AM18))," - ")</f>
        <v>0.5</v>
      </c>
      <c r="E18" s="455">
        <f>IF(ISNUMBER(
   IF(D_I="SI",(Datos!L18-Datos!V18)/Datos!V18,(Datos!L18+Datos!AF18-(Datos!V18+Datos!AN18))/(Datos!V18+Datos!AN18))
     ),IF(D_I="SI",(Datos!L18-Datos!V18)/Datos!V18,(Datos!L18+Datos!AF18-(Datos!V18+Datos!AN18))/(Datos!V18+Datos!AN18))," - ")</f>
        <v>0.11764705882352941</v>
      </c>
      <c r="F18" s="455">
        <f>IF(ISNUMBER((Datos!M18-Datos!W18)/Datos!W18),(Datos!M18-Datos!W18)/Datos!W18," - ")</f>
        <v>0.2857142857142857</v>
      </c>
      <c r="G18" s="456">
        <f>IF(ISNUMBER((Datos!N18-Datos!X18)/Datos!X18),(Datos!N18-Datos!X18)/Datos!X18," - ")</f>
        <v>0.22424242424242424</v>
      </c>
      <c r="H18" s="454">
        <f>IF(ISNUMBER(((NºAsuntos!G18/NºAsuntos!E18)-Datos!BD18)/Datos!BD18),((NºAsuntos!G18/NºAsuntos!E18)-Datos!BD18)/Datos!BD18," - ")</f>
        <v>-3.5714285714285636E-2</v>
      </c>
      <c r="I18" s="455">
        <f>IF(ISNUMBER(((NºAsuntos!I18/NºAsuntos!G18)-Datos!BE18)/Datos!BE18),((NºAsuntos!I18/NºAsuntos!G18)-Datos!BE18)/Datos!BE18," - ")</f>
        <v>-0.25490196078431371</v>
      </c>
      <c r="J18" s="460">
        <f>IF(ISNUMBER((('Resol  Asuntos'!D18/NºAsuntos!G18)-Datos!BF18)/Datos!BF18),(('Resol  Asuntos'!D18/NºAsuntos!G18)-Datos!BF18)/Datos!BF18," - ")</f>
        <v>-0.1428571428571429</v>
      </c>
      <c r="K18" s="461">
        <f>IF(ISNUMBER((((NºAsuntos!C18+NºAsuntos!E18)/NºAsuntos!G18)-Datos!BG18)/Datos!BG18),(((NºAsuntos!C18+NºAsuntos!E18)/NºAsuntos!G18)-Datos!BG18)/Datos!BG18," - ")</f>
        <v>-0.12234042553191489</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0.19526881720430109</v>
      </c>
      <c r="C19" s="852">
        <f>IF(ISNUMBER(
   IF(Criterios!B14="SI",(Datos!J19-Datos!T19)/Datos!T19,(Datos!J19+Datos!AD19-(Datos!T19+Datos!AL19))/(Datos!T19+Datos!AL19))
     ),IF(Criterios!B14="SI",(Datos!J19-Datos!T19)/Datos!T19,(Datos!J19+Datos!AD19-(Datos!T19+Datos!AL19))/(Datos!T19+Datos!AL19))," - ")</f>
        <v>0.11899702507437314</v>
      </c>
      <c r="D19" s="852">
        <f>IF(ISNUMBER(
   IF(Criterios!B14="SI",(Datos!K19-Datos!U19)/Datos!U19,(Datos!K19+Datos!AE19-(Datos!U19+Datos!AM19))/(Datos!U19+Datos!AM19))
     ),IF(Criterios!B14="SI",(Datos!K19-Datos!U19)/Datos!U19,(Datos!K19+Datos!AE19-(Datos!U19+Datos!AM19))/(Datos!U19+Datos!AM19))," - ")</f>
        <v>0.16252220248667851</v>
      </c>
      <c r="E19" s="852">
        <f>IF(ISNUMBER(
   IF(Criterios!B14="SI",(Datos!L19-Datos!V19)/Datos!V19,(Datos!L19+Datos!AF19-(Datos!V19+Datos!AN19))/(Datos!V19+Datos!AN19))
     ),IF(Criterios!B14="SI",(Datos!L19-Datos!V19)/Datos!V19,(Datos!L19+Datos!AF19-(Datos!V19+Datos!AN19))/(Datos!V19+Datos!AN19))," - ")</f>
        <v>0.15923566878980891</v>
      </c>
      <c r="F19" s="853">
        <f>IF(ISNUMBER((Datos!M19-Datos!W19)/Datos!W19),(Datos!M19-Datos!W19)/Datos!W19," - ")</f>
        <v>8.6580086580086577E-2</v>
      </c>
      <c r="G19" s="854">
        <f>IF(ISNUMBER((Datos!N19-Datos!X19)/Datos!X19),(Datos!N19-Datos!X19)/Datos!X19," - ")</f>
        <v>0.10760517799352751</v>
      </c>
      <c r="H19" s="854">
        <f>IF(ISNUMBER(((NºAsuntos!G19/NºAsuntos!E19)-Datos!BD19)/Datos!BD19),((NºAsuntos!G19/NºAsuntos!E19)-Datos!BD19)/Datos!BD19," - ")</f>
        <v>3.8896597968535659E-2</v>
      </c>
      <c r="I19" s="854">
        <f>IF(ISNUMBER(((NºAsuntos!I19/NºAsuntos!G19)-Datos!BE19)/Datos!BE19),((NºAsuntos!I19/NºAsuntos!G19)-Datos!BE19)/Datos!BE19," - ")</f>
        <v>-2.8270717667494669E-3</v>
      </c>
      <c r="J19" s="854">
        <f>IF(ISNUMBER((('Resol  Asuntos'!D19/NºAsuntos!G19)-Datos!BF19)/Datos!BF19),(('Resol  Asuntos'!D19/NºAsuntos!G19)-Datos!BF19)/Datos!BF19," - ")</f>
        <v>-6.53253036751891E-2</v>
      </c>
      <c r="K19" s="854">
        <f>IF(ISNUMBER((((NºAsuntos!C19+NºAsuntos!E19)/NºAsuntos!G19)-Datos!BG19)/Datos!BG19),(((NºAsuntos!C19+NºAsuntos!E19)/NºAsuntos!G19)-Datos!BG19)/Datos!BG19," - ")</f>
        <v>-4.8322022267649175E-3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-0.16622325043377675</v>
      </c>
      <c r="C20" s="799">
        <f>IF(ISNUMBER(
   IF(J_V="SI",(Datos!J20-Datos!T20)/Datos!T20,(Datos!J20+Datos!Z20-(Datos!T20+Datos!AH20))/(Datos!T20+Datos!AH20))
     ),IF(J_V="SI",(Datos!J20-Datos!T20)/Datos!T20,(Datos!J20+Datos!Z20-(Datos!T20+Datos!AH20))/(Datos!T20+Datos!AH20))," - ")</f>
        <v>-2.7389903329752954E-2</v>
      </c>
      <c r="D20" s="799">
        <f>IF(ISNUMBER(
   IF(J_V="SI",(Datos!K20-Datos!U20)/Datos!U20,(Datos!K20+Datos!AA20-(Datos!U20+Datos!AI20))/(Datos!U20+Datos!AI20))
     ),IF(J_V="SI",(Datos!K20-Datos!U20)/Datos!U20,(Datos!K20+Datos!AA20-(Datos!U20+Datos!AI20))/(Datos!U20+Datos!AI20))," - ")</f>
        <v>-0.17838107928047969</v>
      </c>
      <c r="E20" s="799">
        <f>IF(ISNUMBER(
   IF(J_V="SI",(Datos!L20-Datos!V20)/Datos!V20,(Datos!L20+Datos!AB20-(Datos!V20+Datos!AJ20))/(Datos!V20+Datos!AJ20))
     ),IF(J_V="SI",(Datos!L20-Datos!V20)/Datos!V20,(Datos!L20+Datos!AB20-(Datos!V20+Datos!AJ20))/(Datos!V20+Datos!AJ20))," - ")</f>
        <v>-5.3724495955571654E-2</v>
      </c>
      <c r="F20" s="800">
        <f>IF(ISNUMBER((Datos!M20-Datos!W20)/Datos!W20),(Datos!M20-Datos!W20)/Datos!W20," - ")</f>
        <v>-2.6809651474530832E-2</v>
      </c>
      <c r="G20" s="801">
        <f>IF(ISNUMBER((Datos!N20-Datos!X20)/Datos!X20),(Datos!N20-Datos!X20)/Datos!X20," - ")</f>
        <v>-0.20155038759689922</v>
      </c>
      <c r="H20" s="802">
        <f>IF(ISNUMBER((Tasas!B20-Datos!BD20)/Datos!BD20),(Tasas!B20-Datos!BD20)/Datos!BD20," - ")</f>
        <v>-0.15524327422432543</v>
      </c>
      <c r="I20" s="803">
        <f>IF(ISNUMBER((Tasas!C20-Datos!BE20)/Datos!BE20),(Tasas!C20-Datos!BE20)/Datos!BE20," - ")</f>
        <v>0.15172068240071915</v>
      </c>
      <c r="J20" s="804">
        <f>IF(ISNUMBER((Tasas!D20-Datos!BF20)/Datos!BF20),(Tasas!D20-Datos!BF20)/Datos!BF20," - ")</f>
        <v>-0.3964335206521486</v>
      </c>
      <c r="K20" s="804">
        <f>IF(ISNUMBER((Tasas!E20-Datos!BG20)/Datos!BG20),(Tasas!E20-Datos!BG20)/Datos!BG20," - ")</f>
        <v>8.1124180169139623E-2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L0HxpBQu7Sh9W/gSAD2AOLAu0/01vBRET1rCVKamrstQc88aM3+wUwGGoKdj8l1r1gQWAGqSVzFLML4gD1yqfw==" saltValue="i6E4SUhDoM36QgI7GTNRl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GANDIA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f>IF(ISNUMBER(NºAsuntos!G9/NºAsuntos!E9),NºAsuntos!G9/NºAsuntos!E9," - ")</f>
        <v>0.82857142857142863</v>
      </c>
      <c r="C9" s="442">
        <f>IF(ISNUMBER(NºAsuntos!I9/NºAsuntos!G9),NºAsuntos!I9/NºAsuntos!G9," - ")</f>
        <v>2.1003928415539064</v>
      </c>
      <c r="D9" s="443">
        <f>IF(ISNUMBER('Resol  Asuntos'!D9/NºAsuntos!G9),'Resol  Asuntos'!D9/NºAsuntos!G9," - ")</f>
        <v>0.25098210388476649</v>
      </c>
      <c r="E9" s="444">
        <f>IF(ISNUMBER((NºAsuntos!C9+NºAsuntos!E9)/NºAsuntos!G9),(NºAsuntos!C9+NºAsuntos!E9)/NºAsuntos!G9," - ")</f>
        <v>3.0977738978611962</v>
      </c>
      <c r="G9" s="462"/>
    </row>
    <row r="10" spans="1:7" ht="21">
      <c r="A10" s="401" t="str">
        <f>Datos!A10</f>
        <v>Sección De Violencia sobre la Mujer del TI</v>
      </c>
      <c r="B10" s="441">
        <f>IF(ISNUMBER(NºAsuntos!G10/NºAsuntos!E10),NºAsuntos!G10/NºAsuntos!E10," - ")</f>
        <v>0.68571428571428572</v>
      </c>
      <c r="C10" s="442">
        <f>IF(ISNUMBER(NºAsuntos!I10/NºAsuntos!G10),NºAsuntos!I10/NºAsuntos!G10," - ")</f>
        <v>4.75</v>
      </c>
      <c r="D10" s="443">
        <f>IF(ISNUMBER('Resol  Asuntos'!D10/NºAsuntos!G10),'Resol  Asuntos'!D10/NºAsuntos!G10," - ")</f>
        <v>0.5</v>
      </c>
      <c r="E10" s="444">
        <f>IF(ISNUMBER((NºAsuntos!C10+NºAsuntos!E10)/NºAsuntos!G10),(NºAsuntos!C10+NºAsuntos!E10)/NºAsuntos!G10," - ")</f>
        <v>5.5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t="str">
        <f>IF(ISNUMBER(NºAsuntos!G12/NºAsuntos!E12),NºAsuntos!G12/NºAsuntos!E12," - ")</f>
        <v xml:space="preserve"> - </v>
      </c>
      <c r="C12" s="442" t="str">
        <f>IF(ISNUMBER(NºAsuntos!I12/NºAsuntos!G12),NºAsuntos!I12/NºAsuntos!G12," - ")</f>
        <v xml:space="preserve"> - </v>
      </c>
      <c r="D12" s="443" t="str">
        <f>IF(ISNUMBER('Resol  Asuntos'!D12/NºAsuntos!G12),'Resol  Asuntos'!D12/NºAsuntos!G12," - ")</f>
        <v xml:space="preserve"> - </v>
      </c>
      <c r="E12" s="444" t="str">
        <f>IF(ISNUMBER((NºAsuntos!C12+NºAsuntos!E12)/NºAsuntos!G12),(NºAsuntos!C12+NºAsuntos!E12)/NºAsuntos!G12," - ")</f>
        <v xml:space="preserve"> - </v>
      </c>
      <c r="G12" s="462"/>
    </row>
    <row r="13" spans="1:7" ht="14.25" thickTop="1" thickBot="1">
      <c r="A13" s="845" t="str">
        <f>Datos!A13</f>
        <v>TOTAL</v>
      </c>
      <c r="B13" s="855">
        <f>IF(ISNUMBER(NºAsuntos!G13/NºAsuntos!E13),NºAsuntos!G13/NºAsuntos!E13," - ")</f>
        <v>0.82678571428571423</v>
      </c>
      <c r="C13" s="856">
        <f>IF(ISNUMBER(NºAsuntos!I13/NºAsuntos!G13),NºAsuntos!I13/NºAsuntos!G13," - ")</f>
        <v>2.1278617710583152</v>
      </c>
      <c r="D13" s="857">
        <f>IF(ISNUMBER('Resol  Asuntos'!D13/NºAsuntos!G13),'Resol  Asuntos'!D13/NºAsuntos!G13," - ")</f>
        <v>0.25356371490280777</v>
      </c>
      <c r="E13" s="858">
        <f>IF(ISNUMBER((NºAsuntos!C13+NºAsuntos!E13)/NºAsuntos!G13),(NºAsuntos!C13+NºAsuntos!E13)/NºAsuntos!G13," - ")</f>
        <v>3.1226781857451402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f>IF(ISNUMBER(NºAsuntos!G15/NºAsuntos!E15),NºAsuntos!G15/NºAsuntos!E15," - ")</f>
        <v>1.0075858991521642</v>
      </c>
      <c r="C15" s="442">
        <f>IF(ISNUMBER(NºAsuntos!I15/NºAsuntos!G15),NºAsuntos!I15/NºAsuntos!G15," - ")</f>
        <v>1.2223206377325067</v>
      </c>
      <c r="D15" s="443">
        <f>IF(ISNUMBER('Resol  Asuntos'!D15/NºAsuntos!G15),'Resol  Asuntos'!D15/NºAsuntos!G15," - ")</f>
        <v>0.1824623560673162</v>
      </c>
      <c r="E15" s="444">
        <f>IF(ISNUMBER((NºAsuntos!C15+NºAsuntos!E15)/NºAsuntos!G15),(NºAsuntos!C15+NºAsuntos!E15)/NºAsuntos!G15," - ")</f>
        <v>2.1775907883082373</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t="str">
        <f>IF(ISNUMBER(NºAsuntos!G17/NºAsuntos!E17),NºAsuntos!G17/NºAsuntos!E17," - ")</f>
        <v xml:space="preserve"> - </v>
      </c>
      <c r="C17" s="442" t="str">
        <f>IF(ISNUMBER(NºAsuntos!I17/NºAsuntos!G17),NºAsuntos!I17/NºAsuntos!G17," - ")</f>
        <v xml:space="preserve"> - </v>
      </c>
      <c r="D17" s="443" t="str">
        <f>IF(ISNUMBER('Resol  Asuntos'!D17/NºAsuntos!G17),'Resol  Asuntos'!D17/NºAsuntos!G17," - ")</f>
        <v xml:space="preserve"> - </v>
      </c>
      <c r="E17" s="444" t="str">
        <f>IF(ISNUMBER((NºAsuntos!C17+NºAsuntos!E17)/NºAsuntos!G17),(NºAsuntos!C17+NºAsuntos!E17)/NºAsuntos!G17," - ")</f>
        <v xml:space="preserve"> - </v>
      </c>
      <c r="G17" s="462"/>
    </row>
    <row r="18" spans="1:7" ht="21.75" thickBot="1">
      <c r="A18" s="401" t="str">
        <f>Datos!A18</f>
        <v>Sección De Violencia sobre la Mujer del TI</v>
      </c>
      <c r="B18" s="441">
        <f>IF(ISNUMBER(NºAsuntos!G18/NºAsuntos!E18),NºAsuntos!G18/NºAsuntos!E18," - ")</f>
        <v>0.91836734693877553</v>
      </c>
      <c r="C18" s="442">
        <f>IF(ISNUMBER(NºAsuntos!I18/NºAsuntos!G18),NºAsuntos!I18/NºAsuntos!G18," - ")</f>
        <v>0.42222222222222222</v>
      </c>
      <c r="D18" s="443">
        <f>IF(ISNUMBER('Resol  Asuntos'!D18/NºAsuntos!G18),'Resol  Asuntos'!D18/NºAsuntos!G18," - ")</f>
        <v>0.25</v>
      </c>
      <c r="E18" s="444">
        <f>IF(ISNUMBER((NºAsuntos!C18+NºAsuntos!E18)/NºAsuntos!G18),(NºAsuntos!C18+NºAsuntos!E18)/NºAsuntos!G18," - ")</f>
        <v>1.375</v>
      </c>
      <c r="G18" s="462"/>
    </row>
    <row r="19" spans="1:7" ht="14.25" thickTop="1" thickBot="1">
      <c r="A19" s="845" t="str">
        <f>Datos!A19</f>
        <v>TOTAL</v>
      </c>
      <c r="B19" s="855">
        <f>IF(ISNUMBER(NºAsuntos!G19/NºAsuntos!E19),NºAsuntos!G19/NºAsuntos!E19," - ")</f>
        <v>0.99430307633877701</v>
      </c>
      <c r="C19" s="856">
        <f>IF(ISNUMBER(NºAsuntos!I19/NºAsuntos!G19),NºAsuntos!I19/NºAsuntos!G19," - ")</f>
        <v>1.1122994652406417</v>
      </c>
      <c r="D19" s="859">
        <f>IF(ISNUMBER('Resol  Asuntos'!D19/NºAsuntos!G19),'Resol  Asuntos'!D19/NºAsuntos!G19," - ")</f>
        <v>0.1917494270435447</v>
      </c>
      <c r="E19" s="858">
        <f>IF(ISNUMBER((NºAsuntos!C19+NºAsuntos!E19)/NºAsuntos!G19),(NºAsuntos!C19+NºAsuntos!E19)/NºAsuntos!G19," - ")</f>
        <v>2.0672268907563027</v>
      </c>
      <c r="G19" s="462"/>
    </row>
    <row r="20" spans="1:7" ht="15.75" customHeight="1" thickTop="1" thickBot="1">
      <c r="A20" s="790" t="str">
        <f>Datos!A20</f>
        <v>TOTAL JURISDICCIONES</v>
      </c>
      <c r="B20" s="805">
        <f>IF(ISNUMBER(NºAsuntos!G20/NºAsuntos!E20),NºAsuntos!G20/NºAsuntos!E20," - ")</f>
        <v>0.90796981409902444</v>
      </c>
      <c r="C20" s="806">
        <f>IF(ISNUMBER(NºAsuntos!I20/NºAsuntos!G20),NºAsuntos!I20/NºAsuntos!G20," - ")</f>
        <v>1.5888911412933306</v>
      </c>
      <c r="D20" s="807">
        <f>IF(ISNUMBER('Resol  Asuntos'!D20/NºAsuntos!G20),'Resol  Asuntos'!D20/NºAsuntos!G20," - ")</f>
        <v>0.22075815933509021</v>
      </c>
      <c r="E20" s="808">
        <f>IF(ISNUMBER((NºAsuntos!C20+NºAsuntos!E20)/NºAsuntos!G20),(NºAsuntos!C20+NºAsuntos!E20)/NºAsuntos!G20," - ")</f>
        <v>2.5625380093249546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cP/jfZDCDe/kjL69emAaZmFue+5WZF+xajTK2xaxqaHmYL2CPxmxmu6CluC37Srv67W/7biRSkrZHkSltXvAOQ==" saltValue="AljDVNMFy5GT3/w/sFZIw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GANDIA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6</v>
      </c>
      <c r="B9" s="176" t="s">
        <v>247</v>
      </c>
      <c r="C9" s="159" t="str">
        <f>Datos!A9</f>
        <v>Sección Civil del T.I</v>
      </c>
      <c r="D9" s="159"/>
      <c r="E9" s="1020">
        <f>IF(ISNUMBER(Datos!AQ9),Datos!AQ9," - ")</f>
        <v>6</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476</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f>IF(ISNUMBER(Datos!Q9),Datos!Q9," - ")</f>
        <v>697</v>
      </c>
      <c r="Y9" s="333">
        <f>SUM(W9:X9)</f>
        <v>697</v>
      </c>
      <c r="Z9" s="334" t="str">
        <f>IF(ISNUMBER(Datos!CC9),Datos!CC9," - ")</f>
        <v xml:space="preserve"> - </v>
      </c>
      <c r="AA9" s="331" t="str">
        <f>IF(ISNUMBER(IF(J_V="SI",Datos!L9,Datos!L9+Datos!AB9)-IF(Monitorios="SI",Datos!CD9,0)),
                          IF(J_V="SI",Datos!L9,Datos!L9+Datos!AB9)-IF(Monitorios="SI",Datos!CD9,0),
                          " - ")</f>
        <v xml:space="preserve"> - </v>
      </c>
      <c r="AB9" s="333">
        <f>IF(ISNUMBER(Datos!R9),Datos!R9," - ")</f>
        <v>7794</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f>IF(ISNUMBER(Datos!M9),Datos!M9," - ")</f>
        <v>575</v>
      </c>
      <c r="AJ9" s="228" t="str">
        <f>IF(ISNUMBER(Datos!BW9),Datos!BW9," - ")</f>
        <v xml:space="preserve"> - </v>
      </c>
      <c r="AK9" s="227" t="str">
        <f>IF(ISNUMBER(Datos!BX9),Datos!BX9," - ")</f>
        <v xml:space="preserve"> - </v>
      </c>
      <c r="AL9" s="242">
        <f>IF(ISNUMBER(NºAsuntos!G9/NºAsuntos!E9),NºAsuntos!G9/NºAsuntos!E9," - ")</f>
        <v>0.82857142857142863</v>
      </c>
      <c r="AM9" s="259">
        <f>IF(ISNUMBER(((NºAsuntos!I9/NºAsuntos!G9)*11)/factor_trimestre),((NºAsuntos!I9/NºAsuntos!G9)*11)/factor_trimestre," - ")</f>
        <v>6.3011785246617196</v>
      </c>
      <c r="AN9" s="243">
        <f>IF(ISNUMBER('Resol  Asuntos'!D9/NºAsuntos!G9),'Resol  Asuntos'!D9/NºAsuntos!G9," - ")</f>
        <v>0.25098210388476649</v>
      </c>
      <c r="AO9" s="244">
        <f>IF(ISNUMBER((NºAsuntos!C9+NºAsuntos!E9)/NºAsuntos!G9),(NºAsuntos!C9+NºAsuntos!E9)/NºAsuntos!G9," - ")</f>
        <v>3.0977738978611962</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103</v>
      </c>
      <c r="G10" s="332">
        <f>IF(ISNUMBER(Datos!I10),Datos!I10," - ")</f>
        <v>97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15</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24</v>
      </c>
      <c r="X10" s="225">
        <f>IF(ISNUMBER(Datos!Q10),Datos!Q10," - ")</f>
        <v>35</v>
      </c>
      <c r="Y10" s="333">
        <f t="shared" ref="Y10:Y12" si="0">SUM(W10:X10)</f>
        <v>59</v>
      </c>
      <c r="Z10" s="334" t="str">
        <f>IF(ISNUMBER(Datos!CC10),Datos!CC10," - ")</f>
        <v xml:space="preserve"> - </v>
      </c>
      <c r="AA10" s="331">
        <f>IF(ISNUMBER(Datos!L10),Datos!L10,"-")</f>
        <v>114</v>
      </c>
      <c r="AB10" s="333">
        <f>IF(ISNUMBER(Datos!R10),Datos!R10," - ")</f>
        <v>62</v>
      </c>
      <c r="AC10" s="333">
        <f t="shared" ref="AC10:AC12" si="1">IF(ISNUMBER(AA10+AB10),AA10+AB10," - ")</f>
        <v>176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12</v>
      </c>
      <c r="AJ10" s="230" t="str">
        <f>IF(ISNUMBER(Datos!BW10),Datos!BW10," - ")</f>
        <v xml:space="preserve"> - </v>
      </c>
      <c r="AK10" s="231" t="str">
        <f>IF(ISNUMBER(Datos!BX10),Datos!BX10," - ")</f>
        <v xml:space="preserve"> - </v>
      </c>
      <c r="AL10" s="242">
        <f>IF(ISNUMBER(NºAsuntos!G10/NºAsuntos!E10),NºAsuntos!G10/NºAsuntos!E10," - ")</f>
        <v>0.68571428571428572</v>
      </c>
      <c r="AM10" s="259">
        <f>IF(ISNUMBER(((NºAsuntos!I10/NºAsuntos!G10)*11)/factor_trimestre),((NºAsuntos!I10/NºAsuntos!G10)*11)/factor_trimestre," - ")</f>
        <v>14.25</v>
      </c>
      <c r="AN10" s="243">
        <f>IF(ISNUMBER('Resol  Asuntos'!D10/NºAsuntos!G10),'Resol  Asuntos'!D10/NºAsuntos!G10," - ")</f>
        <v>0.5</v>
      </c>
      <c r="AO10" s="244">
        <f>IF(ISNUMBER((NºAsuntos!C10+NºAsuntos!E10)/NºAsuntos!G10),(NºAsuntos!C10+NºAsuntos!E10)/NºAsuntos!G10," - ")</f>
        <v>5.5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0</v>
      </c>
      <c r="B12" s="274" t="s">
        <v>247</v>
      </c>
      <c r="C12" s="7" t="str">
        <f>Datos!A12</f>
        <v xml:space="preserve">Sección Civil y de Instrucción del T.I.       </v>
      </c>
      <c r="D12" s="7"/>
      <c r="E12" s="1020">
        <f>IF(ISNUMBER(Datos!AQ12),Datos!AQ12," - ")</f>
        <v>0</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t="str">
        <f>IF(ISNUMBER(Datos!Q12),Datos!Q12," - ")</f>
        <v xml:space="preserve"> - </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t="str">
        <f>IF(ISNUMBER(Datos!R12),Datos!R12," - ")</f>
        <v xml:space="preserve"> - </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t="str">
        <f>IF(ISNUMBER(Datos!M12),Datos!M12," - ")</f>
        <v xml:space="preserve"> - </v>
      </c>
      <c r="AJ12" s="228" t="str">
        <f>IF(ISNUMBER(Datos!BW12),Datos!BW12," - ")</f>
        <v xml:space="preserve"> - </v>
      </c>
      <c r="AK12" s="227" t="str">
        <f>IF(ISNUMBER(Datos!BX12),Datos!BX12," - ")</f>
        <v xml:space="preserve"> - </v>
      </c>
      <c r="AL12" s="242" t="str">
        <f>IF(ISNUMBER(NºAsuntos!G12/NºAsuntos!E12),NºAsuntos!G12/NºAsuntos!E12," - ")</f>
        <v xml:space="preserve"> - </v>
      </c>
      <c r="AM12" s="259" t="str">
        <f>IF(ISNUMBER(((NºAsuntos!I12/NºAsuntos!G12)*11)/factor_trimestre),((NºAsuntos!I12/NºAsuntos!G12)*11)/factor_trimestre," - ")</f>
        <v xml:space="preserve"> - </v>
      </c>
      <c r="AN12" s="243" t="str">
        <f>IF(ISNUMBER('Resol  Asuntos'!D12/NºAsuntos!G12),'Resol  Asuntos'!D12/NºAsuntos!G12," - ")</f>
        <v xml:space="preserve"> - </v>
      </c>
      <c r="AO12" s="244" t="str">
        <f>IF(ISNUMBER((NºAsuntos!C12+NºAsuntos!E12)/NºAsuntos!G12),(NºAsuntos!C12+NºAsuntos!E12)/NºAsuntos!G12," - ")</f>
        <v xml:space="preserve"> - </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7</v>
      </c>
      <c r="F13" s="862">
        <f t="shared" si="3"/>
        <v>103</v>
      </c>
      <c r="G13" s="863">
        <f t="shared" si="3"/>
        <v>97</v>
      </c>
      <c r="H13" s="862">
        <f t="shared" si="3"/>
        <v>0</v>
      </c>
      <c r="I13" s="864">
        <f t="shared" si="3"/>
        <v>0</v>
      </c>
      <c r="J13" s="864">
        <f t="shared" si="3"/>
        <v>0</v>
      </c>
      <c r="K13" s="864">
        <f t="shared" si="3"/>
        <v>0</v>
      </c>
      <c r="L13" s="864">
        <f t="shared" si="3"/>
        <v>491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24</v>
      </c>
      <c r="X13" s="864">
        <f t="shared" si="4"/>
        <v>732</v>
      </c>
      <c r="Y13" s="865">
        <f t="shared" si="4"/>
        <v>756</v>
      </c>
      <c r="Z13" s="865">
        <f t="shared" si="4"/>
        <v>0</v>
      </c>
      <c r="AA13" s="865">
        <f t="shared" si="4"/>
        <v>114</v>
      </c>
      <c r="AB13" s="865">
        <f t="shared" si="4"/>
        <v>7856</v>
      </c>
      <c r="AC13" s="865">
        <f t="shared" si="4"/>
        <v>176</v>
      </c>
      <c r="AD13" s="865">
        <f t="shared" si="4"/>
        <v>0</v>
      </c>
      <c r="AE13" s="869">
        <f t="shared" si="4"/>
        <v>0</v>
      </c>
      <c r="AF13" s="862">
        <f t="shared" si="4"/>
        <v>0</v>
      </c>
      <c r="AG13" s="870">
        <f t="shared" si="4"/>
        <v>0</v>
      </c>
      <c r="AH13" s="867">
        <f t="shared" si="4"/>
        <v>0</v>
      </c>
      <c r="AI13" s="862">
        <f t="shared" si="4"/>
        <v>587</v>
      </c>
      <c r="AJ13" s="864">
        <f t="shared" si="4"/>
        <v>0</v>
      </c>
      <c r="AK13" s="867">
        <f>SUBTOTAL(9,AK9:AK12)</f>
        <v>0</v>
      </c>
      <c r="AL13" s="871">
        <f>IF(ISNUMBER(NºAsuntos!G13/NºAsuntos!E13),NºAsuntos!G13/NºAsuntos!E13," - ")</f>
        <v>0.82678571428571423</v>
      </c>
      <c r="AM13" s="871">
        <f>IF(ISNUMBER(((NºAsuntos!I13/NºAsuntos!G13)*11)/factor_trimestre),((NºAsuntos!I13/NºAsuntos!G13)*11)/factor_trimestre," - ")</f>
        <v>6.3835853131749465</v>
      </c>
      <c r="AN13" s="872">
        <f>IF(ISNUMBER('Resol  Asuntos'!D13/NºAsuntos!G13),'Resol  Asuntos'!D13/NºAsuntos!G13," - ")</f>
        <v>0.25356371490280777</v>
      </c>
      <c r="AO13" s="873">
        <f>IF(ISNUMBER((NºAsuntos!C13+NºAsuntos!E13)/NºAsuntos!G13),(NºAsuntos!C13+NºAsuntos!E13)/NºAsuntos!G13," - ")</f>
        <v>3.1226781857451402</v>
      </c>
      <c r="AP13" s="874" t="str">
        <f t="shared" si="2"/>
        <v xml:space="preserve"> - </v>
      </c>
      <c r="AQ13" s="874">
        <f>IF(ISNUMBER((H13-W13+K13)/(F13)),(H13-W13+K13)/(F13)," - ")</f>
        <v>-0.23300970873786409</v>
      </c>
      <c r="AR13" s="875">
        <f>IF(ISNUMBER((Datos!P13-Datos!Q13)/(Datos!R13-Datos!P13+Datos!Q13)),(Datos!P13-Datos!Q13)/(Datos!R13-Datos!P13+Datos!Q13)," - ")</f>
        <v>-2.9764110164258367E-2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3</v>
      </c>
      <c r="B15" s="274" t="s">
        <v>397</v>
      </c>
      <c r="C15" s="159" t="str">
        <f>Datos!A15</f>
        <v xml:space="preserve">Seccion Instruccion Del T.I.                   </v>
      </c>
      <c r="D15" s="159"/>
      <c r="E15" s="1020">
        <f>IF(ISNUMBER(Datos!AQ15),Datos!AQ15," - ")</f>
        <v>3</v>
      </c>
      <c r="F15" s="224">
        <f>IF(ISNUMBER(AA15+W15-Datos!J15-K15),AA15+W15-Datos!J15-K15," - ")</f>
        <v>2777</v>
      </c>
      <c r="G15" s="332">
        <f>IF(ISNUMBER(IF(D_I="SI",Datos!I15,Datos!I15+Datos!AC15)),IF(D_I="SI",Datos!I15,Datos!I15+Datos!AC15)," - ")</f>
        <v>2676</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139</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f>IF(ISNUMBER(IF(D_I="SI",Datos!K15,Datos!K15+Datos!AE15)),IF(D_I="SI",Datos!K15,Datos!K15+Datos!AE15)," - ")</f>
        <v>2258</v>
      </c>
      <c r="X15" s="225">
        <f>IF(ISNUMBER(Datos!Q15),Datos!Q15," - ")</f>
        <v>110</v>
      </c>
      <c r="Y15" s="333">
        <f>SUM(W15)</f>
        <v>2258</v>
      </c>
      <c r="Z15" s="334" t="str">
        <f>IF(ISNUMBER(Datos!CC15),Datos!CC15," - ")</f>
        <v xml:space="preserve"> - </v>
      </c>
      <c r="AA15" s="331">
        <f>IF(ISNUMBER(IF(D_I="SI",Datos!L15,Datos!L15+Datos!AF15)),IF(D_I="SI",Datos!L15,Datos!L15+Datos!AF15)," - ")</f>
        <v>2760</v>
      </c>
      <c r="AB15" s="333">
        <f>IF(ISNUMBER(Datos!R15),Datos!R15," - ")</f>
        <v>394</v>
      </c>
      <c r="AC15" s="333">
        <f t="shared" ref="AC15:AC18" si="6">IF(ISNUMBER(AA15+AB15),AA15+AB15," - ")</f>
        <v>3154</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f>IF(ISNUMBER(Datos!M15),Datos!M15," - ")</f>
        <v>412</v>
      </c>
      <c r="AJ15" s="230" t="str">
        <f>IF(ISNUMBER(Datos!BW15),Datos!BW15," - ")</f>
        <v xml:space="preserve"> - </v>
      </c>
      <c r="AK15" s="231" t="str">
        <f>IF(ISNUMBER(Datos!BX15),Datos!BX15," - ")</f>
        <v xml:space="preserve"> - </v>
      </c>
      <c r="AL15" s="242">
        <f>IF(ISNUMBER(NºAsuntos!G15/NºAsuntos!E15),NºAsuntos!G15/NºAsuntos!E15," - ")</f>
        <v>1.0075858991521642</v>
      </c>
      <c r="AM15" s="259">
        <f>IF(ISNUMBER(((NºAsuntos!I15/NºAsuntos!G15)*11)/factor_trimestre),((NºAsuntos!I15/NºAsuntos!G15)*11)/factor_trimestre," - ")</f>
        <v>3.66696191319752</v>
      </c>
      <c r="AN15" s="243">
        <f>IF(ISNUMBER('Resol  Asuntos'!D15/NºAsuntos!G15),'Resol  Asuntos'!D15/NºAsuntos!G15," - ")</f>
        <v>0.1824623560673162</v>
      </c>
      <c r="AO15" s="244">
        <f>IF(ISNUMBER((NºAsuntos!C15+NºAsuntos!E15)/NºAsuntos!G15),(NºAsuntos!C15+NºAsuntos!E15)/NºAsuntos!G15," - ")</f>
        <v>2.1775907883082373</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0</v>
      </c>
      <c r="B17" s="274" t="s">
        <v>397</v>
      </c>
      <c r="C17" s="159" t="str">
        <f>Datos!A17</f>
        <v xml:space="preserve">Sección Civil y de Inst. TI                      </v>
      </c>
      <c r="D17" s="159"/>
      <c r="E17" s="1020">
        <f>IF(ISNUMBER(Datos!AQ17),Datos!AQ17," - ")</f>
        <v>0</v>
      </c>
      <c r="F17" s="224" t="str">
        <f>IF(ISNUMBER(AA17+W17-Datos!J17-K17),AA17+W17-Datos!J17-K17," - ")</f>
        <v xml:space="preserve"> - </v>
      </c>
      <c r="G17" s="332" t="str">
        <f>IF(ISNUMBER(IF(D_I="SI",Datos!I17,Datos!I17+Datos!AC17)),IF(D_I="SI",Datos!I17,Datos!I17+Datos!AC17)," - ")</f>
        <v xml:space="preserve"> - </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t="str">
        <f>IF(ISNUMBER(IF(D_I="SI",Datos!K17,Datos!K17+Datos!AE17)),IF(D_I="SI",Datos!K17,Datos!K17+Datos!AE17)," - ")</f>
        <v xml:space="preserve"> - </v>
      </c>
      <c r="X17" s="225" t="str">
        <f>IF(ISNUMBER(Datos!Q17),Datos!Q17," - ")</f>
        <v xml:space="preserve"> - </v>
      </c>
      <c r="Y17" s="333">
        <f t="shared" ref="Y17:Y18" si="9">SUM(W17:X17)</f>
        <v>0</v>
      </c>
      <c r="Z17" s="334" t="str">
        <f>IF(ISNUMBER(Datos!CC17),Datos!CC17," - ")</f>
        <v xml:space="preserve"> - </v>
      </c>
      <c r="AA17" s="331" t="str">
        <f>IF(ISNUMBER(IF(D_I="SI",Datos!L17,Datos!L17+Datos!AF17)),IF(D_I="SI",Datos!L17,Datos!L17+Datos!AF17)," - ")</f>
        <v xml:space="preserve"> - </v>
      </c>
      <c r="AB17" s="333" t="str">
        <f>IF(ISNUMBER(Datos!R17),Datos!R17," - ")</f>
        <v xml:space="preserve"> - </v>
      </c>
      <c r="AC17" s="333" t="str">
        <f t="shared" si="6"/>
        <v xml:space="preserve"> - </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t="str">
        <f>IF(ISNUMBER(Datos!M17),Datos!M17," - ")</f>
        <v xml:space="preserve"> - </v>
      </c>
      <c r="AJ17" s="230" t="str">
        <f>IF(ISNUMBER(Datos!BW17),Datos!BW17," - ")</f>
        <v xml:space="preserve"> - </v>
      </c>
      <c r="AK17" s="231" t="str">
        <f>IF(ISNUMBER(Datos!BX17),Datos!BX17," - ")</f>
        <v xml:space="preserve"> - </v>
      </c>
      <c r="AL17" s="242" t="str">
        <f>IF(ISNUMBER(NºAsuntos!G17/NºAsuntos!E17),NºAsuntos!G17/NºAsuntos!E17," - ")</f>
        <v xml:space="preserve"> - </v>
      </c>
      <c r="AM17" s="259" t="str">
        <f>IF(ISNUMBER(((NºAsuntos!I17/NºAsuntos!G17)*11)/factor_trimestre),((NºAsuntos!I17/NºAsuntos!G17)*11)/factor_trimestre," - ")</f>
        <v xml:space="preserve"> - </v>
      </c>
      <c r="AN17" s="243" t="str">
        <f>IF(ISNUMBER('Resol  Asuntos'!D17/NºAsuntos!G17),'Resol  Asuntos'!D17/NºAsuntos!G17," - ")</f>
        <v xml:space="preserve"> - </v>
      </c>
      <c r="AO17" s="244" t="str">
        <f>IF(ISNUMBER((NºAsuntos!C17+NºAsuntos!E17)/NºAsuntos!G17),(NºAsuntos!C17+NºAsuntos!E17)/NºAsuntos!G17," - ")</f>
        <v xml:space="preserve"> - </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103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12</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360</v>
      </c>
      <c r="X18" s="225">
        <f>IF(ISNUMBER(Datos!Q18),Datos!Q18," - ")</f>
        <v>11</v>
      </c>
      <c r="Y18" s="333">
        <f t="shared" si="9"/>
        <v>371</v>
      </c>
      <c r="Z18" s="334" t="str">
        <f>IF(ISNUMBER(Datos!CC18),Datos!CC18," - ")</f>
        <v xml:space="preserve"> - </v>
      </c>
      <c r="AA18" s="331">
        <f>IF(ISNUMBER(Datos!L18),Datos!L18,"-")</f>
        <v>152</v>
      </c>
      <c r="AB18" s="333">
        <f>IF(ISNUMBER(Datos!R18),Datos!R18," - ")</f>
        <v>16</v>
      </c>
      <c r="AC18" s="333">
        <f t="shared" si="6"/>
        <v>168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90</v>
      </c>
      <c r="AJ18" s="230" t="str">
        <f>IF(ISNUMBER(Datos!BW18),Datos!BW18," - ")</f>
        <v xml:space="preserve"> - </v>
      </c>
      <c r="AK18" s="231" t="str">
        <f>IF(ISNUMBER(Datos!BX18),Datos!BX18," - ")</f>
        <v xml:space="preserve"> - </v>
      </c>
      <c r="AL18" s="242">
        <f>IF(ISNUMBER(NºAsuntos!G18/NºAsuntos!E18),NºAsuntos!G18/NºAsuntos!E18," - ")</f>
        <v>0.91836734693877553</v>
      </c>
      <c r="AM18" s="259">
        <f>IF(ISNUMBER(((NºAsuntos!I18/NºAsuntos!G18)*11)/factor_trimestre),((NºAsuntos!I18/NºAsuntos!G18)*11)/factor_trimestre," - ")</f>
        <v>1.2666666666666668</v>
      </c>
      <c r="AN18" s="243">
        <f>IF(ISNUMBER('Resol  Asuntos'!D18/NºAsuntos!G18),'Resol  Asuntos'!D18/NºAsuntos!G18," - ")</f>
        <v>0.25</v>
      </c>
      <c r="AO18" s="244">
        <f>IF(ISNUMBER((NºAsuntos!C18+NºAsuntos!E18)/NºAsuntos!G18),(NºAsuntos!C18+NºAsuntos!E18)/NºAsuntos!G18," - ")</f>
        <v>1.375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2777</v>
      </c>
      <c r="G19" s="863">
        <f>SUBTOTAL(9,G15:G18)</f>
        <v>2779</v>
      </c>
      <c r="H19" s="862">
        <f t="shared" ref="H19:O19" si="12">SUBTOTAL(9,H14:H18)</f>
        <v>0</v>
      </c>
      <c r="I19" s="864">
        <f t="shared" si="12"/>
        <v>0</v>
      </c>
      <c r="J19" s="864">
        <f t="shared" si="12"/>
        <v>0</v>
      </c>
      <c r="K19" s="864">
        <f t="shared" si="12"/>
        <v>0</v>
      </c>
      <c r="L19" s="864">
        <f t="shared" si="12"/>
        <v>151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2618</v>
      </c>
      <c r="X19" s="864">
        <f t="shared" si="13"/>
        <v>121</v>
      </c>
      <c r="Y19" s="865">
        <f t="shared" si="13"/>
        <v>2629</v>
      </c>
      <c r="Z19" s="865">
        <f t="shared" si="13"/>
        <v>0</v>
      </c>
      <c r="AA19" s="865">
        <f t="shared" si="13"/>
        <v>2912</v>
      </c>
      <c r="AB19" s="865">
        <f t="shared" si="13"/>
        <v>410</v>
      </c>
      <c r="AC19" s="865">
        <f t="shared" si="13"/>
        <v>3322</v>
      </c>
      <c r="AD19" s="865">
        <f t="shared" si="13"/>
        <v>0</v>
      </c>
      <c r="AE19" s="869">
        <f t="shared" si="13"/>
        <v>0</v>
      </c>
      <c r="AF19" s="862">
        <f t="shared" si="13"/>
        <v>0</v>
      </c>
      <c r="AG19" s="870">
        <f t="shared" si="13"/>
        <v>0</v>
      </c>
      <c r="AH19" s="867">
        <f t="shared" si="13"/>
        <v>0</v>
      </c>
      <c r="AI19" s="862">
        <f t="shared" si="13"/>
        <v>502</v>
      </c>
      <c r="AJ19" s="864">
        <f t="shared" si="13"/>
        <v>0</v>
      </c>
      <c r="AK19" s="867">
        <f t="shared" si="13"/>
        <v>0</v>
      </c>
      <c r="AL19" s="871">
        <f>IF(ISNUMBER(NºAsuntos!G19/NºAsuntos!E19),NºAsuntos!G19/NºAsuntos!E19," - ")</f>
        <v>0.99430307633877701</v>
      </c>
      <c r="AM19" s="871">
        <f>IF(ISNUMBER(((NºAsuntos!I19/NºAsuntos!G19)*11)/factor_trimestre),((NºAsuntos!I19/NºAsuntos!G19)*11)/factor_trimestre," - ")</f>
        <v>3.3368983957219251</v>
      </c>
      <c r="AN19" s="872">
        <f>IF(ISNUMBER('Resol  Asuntos'!D19/NºAsuntos!G19),'Resol  Asuntos'!D19/NºAsuntos!G19," - ")</f>
        <v>0.1917494270435447</v>
      </c>
      <c r="AO19" s="873">
        <f>IF(ISNUMBER((NºAsuntos!C19+NºAsuntos!E19)/NºAsuntos!G19),(NºAsuntos!C19+NºAsuntos!E19)/NºAsuntos!G19," - ")</f>
        <v>2.0672268907563027</v>
      </c>
      <c r="AP19" s="874" t="str">
        <f t="shared" si="2"/>
        <v xml:space="preserve"> - </v>
      </c>
      <c r="AQ19" s="874">
        <f>IF(ISNUMBER((H19-W19+K19)/(F19)),(H19-W19+K19)/(F19)," - ")</f>
        <v>-0.94274396831112717</v>
      </c>
      <c r="AR19" s="875">
        <f>IF(ISNUMBER((Datos!P19-Datos!Q19)/(Datos!R19-Datos!P19+Datos!Q19)),(Datos!P19-Datos!Q19)/(Datos!R19-Datos!P19+Datos!Q19)," - ")</f>
        <v>7.8947368421052627E-2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11</v>
      </c>
      <c r="F20" s="817">
        <f t="shared" si="15"/>
        <v>2880</v>
      </c>
      <c r="G20" s="818">
        <f t="shared" si="15"/>
        <v>2876</v>
      </c>
      <c r="H20" s="817">
        <f t="shared" si="15"/>
        <v>0</v>
      </c>
      <c r="I20" s="819">
        <f t="shared" si="15"/>
        <v>0</v>
      </c>
      <c r="J20" s="819">
        <f t="shared" si="15"/>
        <v>0</v>
      </c>
      <c r="K20" s="878">
        <f t="shared" si="15"/>
        <v>0</v>
      </c>
      <c r="L20" s="819">
        <f t="shared" si="15"/>
        <v>642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2642</v>
      </c>
      <c r="X20" s="818">
        <f t="shared" si="16"/>
        <v>853</v>
      </c>
      <c r="Y20" s="825">
        <f t="shared" si="16"/>
        <v>3385</v>
      </c>
      <c r="Z20" s="825">
        <f t="shared" si="16"/>
        <v>0</v>
      </c>
      <c r="AA20" s="825">
        <f t="shared" si="16"/>
        <v>3026</v>
      </c>
      <c r="AB20" s="825">
        <f t="shared" si="16"/>
        <v>8266</v>
      </c>
      <c r="AC20" s="825">
        <f t="shared" si="16"/>
        <v>3498</v>
      </c>
      <c r="AD20" s="825">
        <f t="shared" si="16"/>
        <v>0</v>
      </c>
      <c r="AE20" s="827">
        <f t="shared" si="16"/>
        <v>0</v>
      </c>
      <c r="AF20" s="828">
        <f t="shared" si="16"/>
        <v>0</v>
      </c>
      <c r="AG20" s="829">
        <f t="shared" si="16"/>
        <v>0</v>
      </c>
      <c r="AH20" s="827">
        <f t="shared" si="16"/>
        <v>0</v>
      </c>
      <c r="AI20" s="817">
        <f t="shared" si="16"/>
        <v>1089</v>
      </c>
      <c r="AJ20" s="817">
        <f t="shared" si="16"/>
        <v>0</v>
      </c>
      <c r="AK20" s="827">
        <f t="shared" si="16"/>
        <v>0</v>
      </c>
      <c r="AL20" s="881">
        <f>IF(ISNUMBER(NºAsuntos!G20/NºAsuntos!E20),NºAsuntos!G20/NºAsuntos!E20," - ")</f>
        <v>0.90796981409902444</v>
      </c>
      <c r="AM20" s="882">
        <f>IF(ISNUMBER(((NºAsuntos!I20/NºAsuntos!G20)*11)/factor_trimestre),((NºAsuntos!I20/NºAsuntos!G20)*11)/factor_trimestre," - ")</f>
        <v>4.7666734238799924</v>
      </c>
      <c r="AN20" s="882">
        <f>IF(ISNUMBER('Resol  Asuntos'!D20/NºAsuntos!G20),'Resol  Asuntos'!D20/NºAsuntos!G20," - ")</f>
        <v>0.22075815933509021</v>
      </c>
      <c r="AO20" s="883">
        <f>IF(ISNUMBER((NºAsuntos!C20+NºAsuntos!E20)/NºAsuntos!G20),(NºAsuntos!C20+NºAsuntos!E20)/NºAsuntos!G20," - ")</f>
        <v>2.5625380093249546</v>
      </c>
      <c r="AP20" s="884" t="str">
        <f t="shared" si="2"/>
        <v xml:space="preserve"> - </v>
      </c>
      <c r="AQ20" s="885">
        <f>IF(OR(ISNUMBER(FIND("01",Criterios!A8,1)),ISNUMBER(FIND("02",Criterios!A8,1)),ISNUMBER(FIND("03",Criterios!A8,1)),ISNUMBER(FIND("04",Criterios!A8,1))),(I20-W20+K20)/(F20-K20),(H20-W20+K20)/(F20-K20))</f>
        <v>-0.91736111111111107</v>
      </c>
      <c r="AR20" s="886">
        <f>IF(ISNUMBER((Datos!P20-Datos!Q20)/(Datos!R20-Datos!P20+Datos!Q20)),(Datos!P20-Datos!Q20)/(Datos!R20-Datos!P20+Datos!Q20)," - ")</f>
        <v>-2.489088120797452E-2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1150.4000000000001</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2.6583202716502514</v>
      </c>
      <c r="F22" s="251">
        <f>IF(ISNUMBER(STDEV(F8:F19)),STDEV(F8:F19),"-")</f>
        <v>1543.8346198130594</v>
      </c>
      <c r="G22" s="252">
        <f>IF(ISNUMBER(STDEV(G8:G19)),STDEV(G8:G19),"-")</f>
        <v>1440.1513114947331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1274.6674860527353</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250.82743071681773</v>
      </c>
      <c r="AJ22" s="251">
        <f t="shared" si="20"/>
        <v>0</v>
      </c>
      <c r="AK22" s="253">
        <f t="shared" si="20"/>
        <v>0</v>
      </c>
      <c r="AL22" s="248">
        <f t="shared" si="20"/>
        <v>0.12163954649627033</v>
      </c>
      <c r="AM22" s="249">
        <f t="shared" si="20"/>
        <v>4.5416892685714734</v>
      </c>
      <c r="AN22" s="249">
        <f t="shared" si="20"/>
        <v>0.11636583735378954</v>
      </c>
      <c r="AO22" s="250">
        <f t="shared" si="20"/>
        <v>1.4414656841439721</v>
      </c>
      <c r="AP22" s="290" t="str">
        <f t="shared" si="20"/>
        <v>-</v>
      </c>
      <c r="AQ22" s="291">
        <f t="shared" si="20"/>
        <v>0.50185790778466743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MmH/qFMmEf4nMLznfuDbW0RGxuzS+kMyhwKsR8qtjgkk+1Z+DpDpfORyVKeDBX+WTCSAcZcGIJgN0fOok/7qrQ==" saltValue="gI//+jv5qwD3mc4SZkFet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GANDIA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f>IF(ISNUMBER((Datos!M9-Datos!W9)/Datos!W9),(Datos!M9-Datos!W9)/Datos!W9," - ")</f>
        <v>-0.10990712074303406</v>
      </c>
      <c r="I9" s="349">
        <f>IF(ISNUMBER((Tasas!C9-Datos!BE9)/Datos!BE9),(Tasas!C9-Datos!BE9)/Datos!BE9," - ")</f>
        <v>0.37745833358948955</v>
      </c>
      <c r="J9" s="348">
        <f>IF(ISNUMBER((Tasas!D9-Datos!BF9)/Datos!BF9),(Tasas!D9-Datos!BF9)/Datos!BF9," - ")</f>
        <v>-0.45739504528685132</v>
      </c>
      <c r="K9" s="350">
        <f>IF(ISNUMBER((Tasas!E9-Datos!BG9)/Datos!BG9),(Tasas!E9-Datos!BG9)/Datos!BG9," - ")</f>
        <v>0.22302149120646061</v>
      </c>
      <c r="M9" t="e">
        <f>IF(Monitorios="SI",Datos!CE9,0)</f>
        <v>#REF!</v>
      </c>
      <c r="N9" t="e">
        <f>IF(Monitorios="SI",Datos!CF9,0)</f>
        <v>#REF!</v>
      </c>
      <c r="O9" t="e">
        <f>IF(Monitorios="SI",Datos!CG9,0)</f>
        <v>#REF!</v>
      </c>
      <c r="P9" t="e">
        <f>IF(Monitorios="SI",Datos!CH9,0)</f>
        <v>#REF!</v>
      </c>
      <c r="Q9">
        <f>IF(J_V="SI",0,Datos!AG9)</f>
        <v>161</v>
      </c>
      <c r="R9">
        <f>IF(J_V="SI",0,Datos!AH9)</f>
        <v>221</v>
      </c>
      <c r="S9">
        <f>IF(J_V="SI",0,Datos!AI9)</f>
        <v>153</v>
      </c>
      <c r="T9">
        <f>IF(J_V="SI",0,Datos!AJ9)</f>
        <v>229</v>
      </c>
    </row>
    <row r="10" spans="2:20" ht="14.25">
      <c r="B10" s="274" t="s">
        <v>247</v>
      </c>
      <c r="C10" s="7" t="str">
        <f>Datos!A10</f>
        <v>Sección De Violencia sobre la Mujer del TI</v>
      </c>
      <c r="D10" s="351">
        <f>IF(ISNUMBER((Datos!I10-Datos!S10)/Datos!S10),(Datos!I10-Datos!S10)/Datos!S10," - ")</f>
        <v>8.98876404494382E-2</v>
      </c>
      <c r="E10" s="347">
        <f>IF(ISNUMBER((Datos!J10-Datos!T10)/Datos!T10),(Datos!J10-Datos!T10)/Datos!T10," - ")</f>
        <v>0.20689655172413793</v>
      </c>
      <c r="F10" s="347">
        <f>IF(ISNUMBER((Datos!K10-Datos!U10)/Datos!U10),(Datos!K10-Datos!U10)/Datos!U10," - ")</f>
        <v>-0.1111111111111111</v>
      </c>
      <c r="G10" s="348">
        <f>IF(ISNUMBER((Datos!L10-Datos!V10)/Datos!V10),(Datos!L10-Datos!V10)/Datos!V10," - ")</f>
        <v>0.25274725274725274</v>
      </c>
      <c r="H10" s="229">
        <f>IF(ISNUMBER((Datos!M10-Datos!W10)/Datos!W10),(Datos!M10-Datos!W10)/Datos!W10," - ")</f>
        <v>9.0909090909090912E-2</v>
      </c>
      <c r="I10" s="349">
        <f>IF(ISNUMBER((Tasas!C10-Datos!BE10)/Datos!BE10),(Tasas!C10-Datos!BE10)/Datos!BE10," - ")</f>
        <v>0.40934065934065939</v>
      </c>
      <c r="J10" s="348">
        <f>IF(ISNUMBER((Tasas!D10-Datos!BF10)/Datos!BF10),(Tasas!D10-Datos!BF10)/Datos!BF10," - ")</f>
        <v>0.22727272727272735</v>
      </c>
      <c r="K10" s="350">
        <f>IF(ISNUMBER((Tasas!E10-Datos!BG10)/Datos!BG10),(Tasas!E10-Datos!BG10)/Datos!BG10," - ")</f>
        <v>0.25847457627118647</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t="str">
        <f>IF(ISNUMBER((Datos!M12-Datos!W12)/Datos!W12),(Datos!M12-Datos!W12)/Datos!W12," - ")</f>
        <v xml:space="preserve"> - </v>
      </c>
      <c r="I12" s="349" t="str">
        <f>IF(ISNUMBER((Tasas!C12-Datos!BE12)/Datos!BE12),(Tasas!C12-Datos!BE12)/Datos!BE12," - ")</f>
        <v xml:space="preserve"> - </v>
      </c>
      <c r="J12" s="348" t="str">
        <f>IF(ISNUMBER((Tasas!D12-Datos!BF12)/Datos!BF12),(Tasas!D12-Datos!BF12)/Datos!BF12," - ")</f>
        <v xml:space="preserve"> - </v>
      </c>
      <c r="K12" s="350" t="str">
        <f>IF(ISNUMBER((Tasas!E12-Datos!BG12)/Datos!BG12),(Tasas!E12-Datos!BG12)/Datos!BG12," - ")</f>
        <v xml:space="preserve"> - </v>
      </c>
      <c r="M12" t="e">
        <f>IF(Monitorios="SI",Datos!CE12,0)</f>
        <v>#REF!</v>
      </c>
      <c r="N12" t="e">
        <f>IF(Monitorios="SI",Datos!CF12,0)</f>
        <v>#REF!</v>
      </c>
      <c r="O12" t="e">
        <f>IF(Monitorios="SI",Datos!CG12,0)</f>
        <v>#REF!</v>
      </c>
      <c r="P12" t="e">
        <f>IF(Monitorios="SI",Datos!CH12,0)</f>
        <v>#REF!</v>
      </c>
      <c r="Q12">
        <f>IF(J_V="SI",0,Datos!AG12)</f>
        <v>0</v>
      </c>
      <c r="R12">
        <f>IF(J_V="SI",0,Datos!AH12)</f>
        <v>0</v>
      </c>
      <c r="S12">
        <f>IF(J_V="SI",0,Datos!AI12)</f>
        <v>0</v>
      </c>
      <c r="T12">
        <f>IF(J_V="SI",0,Datos!AJ12)</f>
        <v>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-0.106544901065449</v>
      </c>
      <c r="I13" s="356">
        <f>IF(ISNUMBER((Tasas!C13-Datos!BE13)/Datos!BE13),(Tasas!C13-Datos!BE13)/Datos!BE13," - ")</f>
        <v>0.38342356004345846</v>
      </c>
      <c r="J13" s="354">
        <f>IF(ISNUMBER((Tasas!D13-Datos!BF13)/Datos!BF13),(Tasas!D13-Datos!BF13)/Datos!BF13," - ")</f>
        <v>-0.45134310362437446</v>
      </c>
      <c r="K13" s="357">
        <f>IF(ISNUMBER((Tasas!E13-Datos!BG13)/Datos!BG13),(Tasas!E13-Datos!BG13)/Datos!BG13," - ")</f>
        <v>0.22645122505137291</v>
      </c>
      <c r="M13" t="e">
        <f>IF(Monitorios="SI",Datos!CE13,0)</f>
        <v>#REF!</v>
      </c>
      <c r="N13" t="e">
        <f>IF(Monitorios="SI",Datos!CF13,0)</f>
        <v>#REF!</v>
      </c>
      <c r="O13" t="e">
        <f>IF(Monitorios="SI",Datos!CG13,0)</f>
        <v>#REF!</v>
      </c>
      <c r="P13" t="e">
        <f>IF(Monitorios="SI",Datos!CH13,0)</f>
        <v>#REF!</v>
      </c>
      <c r="Q13">
        <f>IF(J_V="SI",0,Datos!AG13)</f>
        <v>161</v>
      </c>
      <c r="R13">
        <f>IF(J_V="SI",0,Datos!AH13)</f>
        <v>221</v>
      </c>
      <c r="S13">
        <f>IF(J_V="SI",0,Datos!AI13)</f>
        <v>153</v>
      </c>
      <c r="T13">
        <f>IF(J_V="SI",0,Datos!AJ13)</f>
        <v>229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f>IF(ISNUMBER(
   IF(D_I="SI",(Datos!I15-Datos!S15)/Datos!S15,(Datos!I15+Datos!AC15-(Datos!S15+Datos!AK15))/(Datos!S15+Datos!AK15))
     ),IF(D_I="SI",(Datos!I15-Datos!S15)/Datos!S15,(Datos!I15+Datos!AC15-(Datos!S15+Datos!AK15))/(Datos!S15+Datos!AK15))," - ")</f>
        <v>0.21581099500227169</v>
      </c>
      <c r="E15" s="347">
        <f>IF(ISNUMBER(
   IF(D_I="SI",(Datos!J15-Datos!T15)/Datos!T15,(Datos!J15+Datos!AD15-(Datos!T15+Datos!AL15))/(Datos!T15+Datos!AL15))
     ),IF(D_I="SI",(Datos!J15-Datos!T15)/Datos!T15,(Datos!J15+Datos!AD15-(Datos!T15+Datos!AL15))/(Datos!T15+Datos!AL15))," - ")</f>
        <v>6.6634935744883383E-2</v>
      </c>
      <c r="F15" s="347">
        <f>IF(ISNUMBER(
   IF(D_I="SI",(Datos!K15-Datos!U15)/Datos!U15,(Datos!K15+Datos!AE15-(Datos!U15+Datos!AM15))/(Datos!U15+Datos!AM15))
     ),IF(D_I="SI",(Datos!K15-Datos!U15)/Datos!U15,(Datos!K15+Datos!AE15-(Datos!U15+Datos!AM15))/(Datos!U15+Datos!AM15))," - ")</f>
        <v>0.12226640159045726</v>
      </c>
      <c r="G15" s="348">
        <f>IF(ISNUMBER(
   IF(D_I="SI",(Datos!L15-Datos!V15)/Datos!V15,(Datos!L15+Datos!AF15-(Datos!V15+Datos!AN15))/(Datos!V15+Datos!AN15))
     ),IF(D_I="SI",(Datos!L15-Datos!V15)/Datos!V15,(Datos!L15+Datos!AF15-(Datos!V15+Datos!AN15))/(Datos!V15+Datos!AN15))," - ")</f>
        <v>0.16161616161616163</v>
      </c>
      <c r="H15" s="229">
        <f>IF(ISNUMBER((Datos!M15-Datos!W15)/Datos!W15),(Datos!M15-Datos!W15)/Datos!W15," - ")</f>
        <v>5.1020408163265307E-2</v>
      </c>
      <c r="I15" s="349">
        <f>IF(ISNUMBER((Tasas!C15-Datos!BE15)/Datos!BE15),(Tasas!C15-Datos!BE15)/Datos!BE15," - ")</f>
        <v>3.5062762254967773E-2</v>
      </c>
      <c r="J15" s="348">
        <f>IF(ISNUMBER((Tasas!D15-Datos!BF15)/Datos!BF15),(Tasas!D15-Datos!BF15)/Datos!BF15," - ")</f>
        <v>-6.3484029572856593E-2</v>
      </c>
      <c r="K15" s="350">
        <f>IF(ISNUMBER((Tasas!E15-Datos!BG15)/Datos!BG15),(Tasas!E15-Datos!BG15)/Datos!BG15," - ")</f>
        <v>1.843623107302959E-2</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t="str">
        <f>IF(ISNUMBER(
   IF(D_I="SI",(Datos!I17-Datos!S17)/Datos!S17,(Datos!I17+Datos!AC17-(Datos!S17+Datos!AK17))/(Datos!S17+Datos!AK17))
     ),IF(D_I="SI",(Datos!I17-Datos!S17)/Datos!S17,(Datos!I17+Datos!AC17-(Datos!S17+Datos!AK17))/(Datos!S17+Datos!AK17))," - ")</f>
        <v xml:space="preserve"> - </v>
      </c>
      <c r="E17" s="347" t="str">
        <f>IF(ISNUMBER(
   IF(D_I="SI",(Datos!J17-Datos!T17)/Datos!T17,(Datos!J17+Datos!AD17-(Datos!T17+Datos!AL17))/(Datos!T17+Datos!AL17))
     ),IF(D_I="SI",(Datos!J17-Datos!T17)/Datos!T17,(Datos!J17+Datos!AD17-(Datos!T17+Datos!AL17))/(Datos!T17+Datos!AL17))," - ")</f>
        <v xml:space="preserve"> - </v>
      </c>
      <c r="F17" s="347" t="str">
        <f>IF(ISNUMBER(
   IF(D_I="SI",(Datos!K17-Datos!U17)/Datos!U17,(Datos!K17+Datos!AE17-(Datos!U17+Datos!AM17))/(Datos!U17+Datos!AM17))
     ),IF(D_I="SI",(Datos!K17-Datos!U17)/Datos!U17,(Datos!K17+Datos!AE17-(Datos!U17+Datos!AM17))/(Datos!U17+Datos!AM17))," - ")</f>
        <v xml:space="preserve"> - </v>
      </c>
      <c r="G17" s="348" t="str">
        <f>IF(ISNUMBER(
   IF(D_I="SI",(Datos!L17-Datos!V17)/Datos!V17,(Datos!L17+Datos!AF17-(Datos!V17+Datos!AN17))/(Datos!V17+Datos!AN17))
     ),IF(D_I="SI",(Datos!L17-Datos!V17)/Datos!V17,(Datos!L17+Datos!AF17-(Datos!V17+Datos!AN17))/(Datos!V17+Datos!AN17))," - ")</f>
        <v xml:space="preserve"> - </v>
      </c>
      <c r="H17" s="229" t="str">
        <f>IF(ISNUMBER((Datos!M17-Datos!W17)/Datos!W17),(Datos!M17-Datos!W17)/Datos!W17," - ")</f>
        <v xml:space="preserve"> - </v>
      </c>
      <c r="I17" s="349" t="str">
        <f>IF(ISNUMBER((Tasas!C17-Datos!BE17)/Datos!BE17),(Tasas!C17-Datos!BE17)/Datos!BE17," - ")</f>
        <v xml:space="preserve"> - </v>
      </c>
      <c r="J17" s="348" t="str">
        <f>IF(ISNUMBER((Tasas!D17-Datos!BF17)/Datos!BF17),(Tasas!D17-Datos!BF17)/Datos!BF17," - ")</f>
        <v xml:space="preserve"> - </v>
      </c>
      <c r="K17" s="350" t="str">
        <f>IF(ISNUMBER((Tasas!E17-Datos!BG17)/Datos!BG17),(Tasas!E17-Datos!BG17)/Datos!BG17," - ")</f>
        <v xml:space="preserve"> - </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-0.16935483870967741</v>
      </c>
      <c r="E18" s="347">
        <f>IF(ISNUMBER(
   IF(D_I="SI",(Datos!J18-Datos!T18)/Datos!T18,(Datos!J18+Datos!AD18-(Datos!T18+Datos!AL18))/(Datos!T18+Datos!AL18))
     ),IF(D_I="SI",(Datos!J18-Datos!T18)/Datos!T18,(Datos!J18+Datos!AD18-(Datos!T18+Datos!AL18))/(Datos!T18+Datos!AL18))," - ")</f>
        <v>0.55555555555555558</v>
      </c>
      <c r="F18" s="347">
        <f>IF(ISNUMBER(
   IF(D_I="SI",(Datos!K18-Datos!U18)/Datos!U18,(Datos!K18+Datos!AE18-(Datos!U18+Datos!AM18))/(Datos!U18+Datos!AM18))
     ),IF(D_I="SI",(Datos!K18-Datos!U18)/Datos!U18,(Datos!K18+Datos!AE18-(Datos!U18+Datos!AM18))/(Datos!U18+Datos!AM18))," - ")</f>
        <v>0.5</v>
      </c>
      <c r="G18" s="348">
        <f>IF(ISNUMBER(
   IF(D_I="SI",(Datos!L18-Datos!V18)/Datos!V18,(Datos!L18+Datos!AF18-(Datos!V18+Datos!AN18))/(Datos!V18+Datos!AN18))
     ),IF(D_I="SI",(Datos!L18-Datos!V18)/Datos!V18,(Datos!L18+Datos!AF18-(Datos!V18+Datos!AN18))/(Datos!V18+Datos!AN18))," - ")</f>
        <v>0.11764705882352941</v>
      </c>
      <c r="H18" s="229">
        <f>IF(ISNUMBER((Datos!M18-Datos!W18)/Datos!W18),(Datos!M18-Datos!W18)/Datos!W18," - ")</f>
        <v>0.2857142857142857</v>
      </c>
      <c r="I18" s="349">
        <f>IF(ISNUMBER((Tasas!C18-Datos!BE18)/Datos!BE18),(Tasas!C18-Datos!BE18)/Datos!BE18," - ")</f>
        <v>-0.25490196078431371</v>
      </c>
      <c r="J18" s="348">
        <f>IF(ISNUMBER((Tasas!D18-Datos!BF18)/Datos!BF18),(Tasas!D18-Datos!BF18)/Datos!BF18," - ")</f>
        <v>-0.1428571428571429</v>
      </c>
      <c r="K18" s="350">
        <f>IF(ISNUMBER((Tasas!E18-Datos!BG18)/Datos!BG18),(Tasas!E18-Datos!BG18)/Datos!BG18," - ")</f>
        <v>-0.12234042553191489</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0.19526881720430109</v>
      </c>
      <c r="E19" s="353">
        <f>IF(ISNUMBER(
   IF(D_I="SI",(Datos!J19-Datos!T19)/Datos!T19,(Datos!J19+Datos!AD19-(Datos!T19+Datos!AL19))/(Datos!T19+Datos!AL19))
     ),IF(D_I="SI",(Datos!J19-Datos!T19)/Datos!T19,(Datos!J19+Datos!AD19-(Datos!T19+Datos!AL19))/(Datos!T19+Datos!AL19))," - ")</f>
        <v>0.11899702507437314</v>
      </c>
      <c r="F19" s="353">
        <f>IF(ISNUMBER(
   IF(D_I="SI",(Datos!K19-Datos!U19)/Datos!U19,(Datos!K19+Datos!AE19-(Datos!U19+Datos!AM19))/(Datos!U19+Datos!AM19))
     ),IF(D_I="SI",(Datos!K19-Datos!U19)/Datos!U19,(Datos!K19+Datos!AE19-(Datos!U19+Datos!AM19))/(Datos!U19+Datos!AM19))," - ")</f>
        <v>0.16252220248667851</v>
      </c>
      <c r="G19" s="354">
        <f>IF(ISNUMBER(
   IF(D_I="SI",(Datos!L19-Datos!V19)/Datos!V19,(Datos!L19+Datos!AF19-(Datos!V19+Datos!AN19))/(Datos!V19+Datos!AN19))
     ),IF(D_I="SI",(Datos!L19-Datos!V19)/Datos!V19,(Datos!L19+Datos!AF19-(Datos!V19+Datos!AN19))/(Datos!V19+Datos!AN19))," - ")</f>
        <v>0.15923566878980891</v>
      </c>
      <c r="H19" s="355">
        <f>IF(ISNUMBER((Datos!M19-Datos!W19)/Datos!W19),(Datos!M19-Datos!W19)/Datos!W19," - ")</f>
        <v>8.6580086580086577E-2</v>
      </c>
      <c r="I19" s="356">
        <f>IF(ISNUMBER((Tasas!C19-Datos!BE19)/Datos!BE19),(Tasas!C19-Datos!BE19)/Datos!BE19," - ")</f>
        <v>-2.8270717667494669E-3</v>
      </c>
      <c r="J19" s="354">
        <f>IF(ISNUMBER((Tasas!D19-Datos!BF19)/Datos!BF19),(Tasas!D19-Datos!BF19)/Datos!BF19," - ")</f>
        <v>-6.53253036751891E-2</v>
      </c>
      <c r="K19" s="357">
        <f>IF(ISNUMBER((Tasas!E19-Datos!BG19)/Datos!BG19),(Tasas!E19-Datos!BG19)/Datos!BG19," - ")</f>
        <v>-4.8322022267649175E-3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-0.16622325043377675</v>
      </c>
      <c r="E20" s="362">
        <f>IF(ISNUMBER(
   IF(J_V="SI",(Datos!J20-Datos!T20)/Datos!T20,(Datos!J20+Datos!Z20-(Datos!T20+Datos!AH20))/(Datos!T20+Datos!AH20))
     ),IF(J_V="SI",(Datos!J20-Datos!T20)/Datos!T20,(Datos!J20+Datos!Z20-(Datos!T20+Datos!AH20))/(Datos!T20+Datos!AH20))," - ")</f>
        <v>-2.7389903329752954E-2</v>
      </c>
      <c r="F20" s="362">
        <f>IF(ISNUMBER(
   IF(J_V="SI",(Datos!K20-Datos!U20)/Datos!U20,(Datos!K20+Datos!AA20-(Datos!U20+Datos!AI20))/(Datos!U20+Datos!AI20))
     ),IF(J_V="SI",(Datos!K20-Datos!U20)/Datos!U20,(Datos!K20+Datos!AA20-(Datos!U20+Datos!AI20))/(Datos!U20+Datos!AI20))," - ")</f>
        <v>-0.17838107928047969</v>
      </c>
      <c r="G20" s="363">
        <f>IF(ISNUMBER(
   IF(J_V="SI",(Datos!L20-Datos!V20)/Datos!V20,(Datos!L20+Datos!AB20-(Datos!V20+Datos!AJ20))/(Datos!V20+Datos!AJ20))
     ),IF(J_V="SI",(Datos!L20-Datos!V20)/Datos!V20,(Datos!L20+Datos!AB20-(Datos!V20+Datos!AJ20))/(Datos!V20+Datos!AJ20))," - ")</f>
        <v>-5.3724495955571654E-2</v>
      </c>
      <c r="H20" s="364">
        <f>IF(ISNUMBER((Datos!M20-Datos!W20)/Datos!W20),(Datos!M20-Datos!W20)/Datos!W20," - ")</f>
        <v>-2.6809651474530832E-2</v>
      </c>
      <c r="I20" s="361">
        <f>IF(ISNUMBER((Tasas!C20-Datos!BE20)/Datos!BE20),(Tasas!C20-Datos!BE20)/Datos!BE20," - ")</f>
        <v>0.15172068240071915</v>
      </c>
      <c r="J20" s="362">
        <f>IF(ISNUMBER((Tasas!D20-Datos!BF20)/Datos!BF20),(Tasas!D20-Datos!BF20)/Datos!BF20," - ")</f>
        <v>-0.3964335206521486</v>
      </c>
      <c r="K20" s="363">
        <f>IF(ISNUMBER((Tasas!E20-Datos!BG20)/Datos!BG20),(Tasas!E20-Datos!BG20)/Datos!BG20," - ")</f>
        <v>8.1124180169139623E-2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0.17698720707450921</v>
      </c>
      <c r="E22" s="277">
        <f t="shared" si="1"/>
        <v>0.220100594438462</v>
      </c>
      <c r="F22" s="277">
        <f t="shared" si="1"/>
        <v>0.25182525498123925</v>
      </c>
      <c r="G22" s="278">
        <f t="shared" si="1"/>
        <v>5.6986778970077479E-2</v>
      </c>
      <c r="H22" s="284">
        <f t="shared" si="1"/>
        <v>0.14741077847114872</v>
      </c>
      <c r="I22" s="276">
        <f t="shared" si="1"/>
        <v>0.27335573031679411</v>
      </c>
      <c r="J22" s="277">
        <f t="shared" si="1"/>
        <v>0.2614840066611529</v>
      </c>
      <c r="K22" s="278">
        <f t="shared" si="1"/>
        <v>0.15704521069430286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YlK+xoWHZta1S831eG8PQHC26g/UGvIAtIwIb4QQ+FRMPgxwJGAQ/wj8x1+l9RtOn21Td5ahDhRmqY2sG6yIlQ==" saltValue="RsveMLVVxLCq2WkHeW5Uj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6</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f>IF(ISNUMBER(NºAsuntos!I9/NºAsuntos!G9),(NºAsuntos!I9/NºAsuntos!G9)*11," - ")</f>
        <v>23.10432125709297</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103</v>
      </c>
      <c r="D10" s="224">
        <f>IF(ISNUMBER(Datos!I10),Datos!I10," - ")</f>
        <v>97</v>
      </c>
      <c r="E10" s="225">
        <f>IF(ISNUMBER(Datos!J10),Datos!J10," - ")</f>
        <v>35</v>
      </c>
      <c r="F10" s="225">
        <f>IF(ISNUMBER(Datos!K10),Datos!K10," - ")</f>
        <v>24</v>
      </c>
      <c r="G10" s="1029" t="str">
        <f>IF(Datos!E10&lt;&gt;"",Datos!E10,Datos!D10)</f>
        <v>37</v>
      </c>
      <c r="H10" s="226">
        <f>IF(ISNUMBER(Datos!L10),Datos!L10," - ")</f>
        <v>114</v>
      </c>
      <c r="I10" s="1039" t="str">
        <f>IF(ISNUMBER(Datos!AS10/Datos!BM10),Datos!AS10/Datos!BM10," - ")</f>
        <v xml:space="preserve"> - </v>
      </c>
      <c r="J10" s="1040">
        <f>IF(ISNUMBER(Datos!BY10/Datos!CN10),Datos!BY10/Datos!CN10," - ")</f>
        <v>0</v>
      </c>
      <c r="K10" s="229">
        <f t="shared" ref="K10:K12" si="1">IF(ISNUMBER((E10-F10)/C10),(E10-F10)/C10," - ")</f>
        <v>0.10679611650485436</v>
      </c>
      <c r="L10" s="1020">
        <f>IF(ISNUMBER(NºAsuntos!I10/NºAsuntos!G10),(NºAsuntos!I10/NºAsuntos!G10)*11," - ")</f>
        <v>52.25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0</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t="str">
        <f>IF(ISNUMBER(NºAsuntos!I12/NºAsuntos!G12),(NºAsuntos!I12/NºAsuntos!G12)*11," - ")</f>
        <v xml:space="preserve"> - </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103</v>
      </c>
      <c r="D13" s="1044">
        <f>SUBTOTAL(9,D9:D12)</f>
        <v>97</v>
      </c>
      <c r="E13" s="1045">
        <f>SUBTOTAL(9,E9:E12)</f>
        <v>35</v>
      </c>
      <c r="F13" s="1046">
        <f>SUBTOTAL(9,F9:F12)</f>
        <v>24</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3</v>
      </c>
      <c r="B15" s="501" t="str">
        <f>Datos!A15</f>
        <v xml:space="preserve">Seccion Instruccion Del T.I.                   </v>
      </c>
      <c r="C15" s="224">
        <f t="shared" ref="C15:C18" si="2">IF(ISNUMBER(H15-E15+F15),H15-E15+F15," - ")</f>
        <v>2777</v>
      </c>
      <c r="D15" s="224">
        <f>IF(ISNUMBER(IF(D_I="SI",Datos!I15,Datos!I15+Datos!AC15)),IF(D_I="SI",Datos!I15,Datos!I15+Datos!AC15)," - ")</f>
        <v>2676</v>
      </c>
      <c r="E15" s="225">
        <f>IF(ISNUMBER(IF(D_I="SI",Datos!J15,Datos!J15+Datos!AD15)),IF(D_I="SI",Datos!J15,Datos!J15+Datos!AD15)," - ")</f>
        <v>2241</v>
      </c>
      <c r="F15" s="225">
        <f>IF(ISNUMBER(IF(D_I="SI",Datos!K15,Datos!K15+Datos!AE15)),IF(D_I="SI",Datos!K15,Datos!K15+Datos!AE15)," - ")</f>
        <v>2258</v>
      </c>
      <c r="G15" s="1029" t="str">
        <f>IF(Datos!E15&lt;&gt;"",Datos!E15,Datos!D15)</f>
        <v>03</v>
      </c>
      <c r="H15" s="226">
        <f>IF(ISNUMBER(IF(D_I="SI",Datos!L15,Datos!L15+Datos!AF15)),IF(D_I="SI",Datos!L15,Datos!L15+Datos!AF15)," - ")</f>
        <v>2760</v>
      </c>
      <c r="I15" s="1039" t="str">
        <f>IF(ISNUMBER(Datos!AS15/Datos!BM15),Datos!AS15/Datos!BM15," - ")</f>
        <v xml:space="preserve"> - </v>
      </c>
      <c r="J15" s="1040">
        <f>IF(ISNUMBER(Datos!BY15/Datos!CN15),Datos!BY15/Datos!CN15," - ")</f>
        <v>0</v>
      </c>
      <c r="K15" s="229">
        <f t="shared" ref="K15:K18" si="3">IF(ISNUMBER((E15-F15)/C15),(E15-F15)/C15," - ")</f>
        <v>-6.1217140799423838E-3</v>
      </c>
      <c r="L15" s="1020">
        <f>IF(ISNUMBER(NºAsuntos!I15/NºAsuntos!G15),(NºAsuntos!I15/NºAsuntos!G15)*11," - ")</f>
        <v>13.445527015057573</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0</v>
      </c>
      <c r="B17" s="501" t="str">
        <f>Datos!A17</f>
        <v xml:space="preserve">Sección Civil y de Inst. TI                      </v>
      </c>
      <c r="C17" s="224" t="str">
        <f t="shared" si="2"/>
        <v xml:space="preserve"> - </v>
      </c>
      <c r="D17" s="224" t="str">
        <f>IF(ISNUMBER(IF(D_I="SI",Datos!I17,Datos!I17+Datos!AC17)),IF(D_I="SI",Datos!I17,Datos!I17+Datos!AC17)," - ")</f>
        <v xml:space="preserve"> - </v>
      </c>
      <c r="E17" s="225" t="str">
        <f>IF(ISNUMBER(IF(D_I="SI",Datos!J17,Datos!J17+Datos!AD17)),IF(D_I="SI",Datos!J17,Datos!J17+Datos!AD17)," - ")</f>
        <v xml:space="preserve"> - </v>
      </c>
      <c r="F17" s="225" t="str">
        <f>IF(ISNUMBER(IF(D_I="SI",Datos!K17,Datos!K17+Datos!AE17)),IF(D_I="SI",Datos!K17,Datos!K17+Datos!AE17)," - ")</f>
        <v xml:space="preserve"> - </v>
      </c>
      <c r="G17" s="1029" t="str">
        <f>IF(Datos!E17&lt;&gt;"",Datos!E17,Datos!D17)</f>
        <v>04</v>
      </c>
      <c r="H17" s="226" t="str">
        <f>IF(ISNUMBER(IF(D_I="SI",Datos!L17,Datos!L17+Datos!AF17)),IF(D_I="SI",Datos!L17,Datos!L17+Datos!AF17)," - ")</f>
        <v xml:space="preserve"> - </v>
      </c>
      <c r="I17" s="1039" t="str">
        <f>IF(ISNUMBER(Datos!AS17/Datos!BM17),Datos!AS17/Datos!BM17," - ")</f>
        <v xml:space="preserve"> - </v>
      </c>
      <c r="J17" s="1040">
        <f>IF(ISNUMBER(Datos!BY17/Datos!CN17),Datos!BY17/Datos!CN17," - ")</f>
        <v>0</v>
      </c>
      <c r="K17" s="229" t="str">
        <f t="shared" si="3"/>
        <v xml:space="preserve"> - </v>
      </c>
      <c r="L17" s="1020" t="str">
        <f>IF(ISNUMBER(NºAsuntos!I17/NºAsuntos!G17),(NºAsuntos!I17/NºAsuntos!G17)*11," - ")</f>
        <v xml:space="preserve"> - </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120</v>
      </c>
      <c r="D18" s="224">
        <f>IF(ISNUMBER(IF(D_I="SI",Datos!I18,Datos!I18+Datos!AC18)),IF(D_I="SI",Datos!I18,Datos!I18+Datos!AC18)," - ")</f>
        <v>103</v>
      </c>
      <c r="E18" s="225">
        <f>IF(ISNUMBER(IF(D_I="SI",Datos!J18,Datos!J18+Datos!AD18)),IF(D_I="SI",Datos!J18,Datos!J18+Datos!AD18)," - ")</f>
        <v>392</v>
      </c>
      <c r="F18" s="225">
        <f>IF(ISNUMBER(IF(D_I="SI",Datos!K18,Datos!K18+Datos!AE18)),IF(D_I="SI",Datos!K18,Datos!K18+Datos!AE18)," - ")</f>
        <v>360</v>
      </c>
      <c r="G18" s="1029" t="str">
        <f>IF(Datos!E18&lt;&gt;"",Datos!E18,Datos!D18)</f>
        <v>37</v>
      </c>
      <c r="H18" s="226">
        <f>IF(ISNUMBER(IF(D_I="SI",Datos!L18,Datos!L18+Datos!AF18)),IF(D_I="SI",Datos!L18,Datos!L18+Datos!AF18)," - ")</f>
        <v>152</v>
      </c>
      <c r="I18" s="1039" t="str">
        <f>IF(ISNUMBER(Datos!AS18/Datos!BM18),Datos!AS18/Datos!BM18," - ")</f>
        <v xml:space="preserve"> - </v>
      </c>
      <c r="J18" s="1040" t="str">
        <f>IF(ISNUMBER((Datos!BY18+Datos!BZ18)/Datos!CN18),(Datos!BY18+Datos!BZ18)/Datos!CN18," - ")</f>
        <v xml:space="preserve"> - </v>
      </c>
      <c r="K18" s="229">
        <f t="shared" si="3"/>
        <v>0.26666666666666666</v>
      </c>
      <c r="L18" s="1020">
        <f>IF(ISNUMBER(NºAsuntos!I18/NºAsuntos!G18),(NºAsuntos!I18/NºAsuntos!G18)*11," - ")</f>
        <v>4.6444444444444448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2897</v>
      </c>
      <c r="D19" s="1044">
        <f>SUBTOTAL(9,D15:D18)</f>
        <v>2779</v>
      </c>
      <c r="E19" s="1045">
        <f>SUBTOTAL(9,E15:E18)</f>
        <v>2633</v>
      </c>
      <c r="F19" s="1045">
        <f>SUBTOTAL(9,F15:F18)</f>
        <v>2618</v>
      </c>
      <c r="G19" s="1047" t="str">
        <f ca="1">INDIRECT(CONCATENATE("G",ROW()-1))</f>
        <v>37</v>
      </c>
      <c r="H19" s="1048">
        <f ca="1">SUMIF(G$14:G18,G19,H$14:H18)</f>
        <v>152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3000</v>
      </c>
      <c r="D20" s="1066">
        <f>SUBTOTAL(9,D9:D19)</f>
        <v>2876</v>
      </c>
      <c r="E20" s="1067">
        <f>SUBTOTAL(9,E9:E19)</f>
        <v>2668</v>
      </c>
      <c r="F20" s="1067">
        <f>SUBTOTAL(9,F9:F19)</f>
        <v>2642</v>
      </c>
      <c r="G20" s="1068"/>
      <c r="H20" s="1069">
        <f ca="1">SUMIF(B9:B19,"TOTAL",H9:H19)</f>
        <v>152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nUqootjAdvtEpbykL51s37Sc13+rv5gQN5L1RZNEb6WS83d3Yx1hwTT7VhbTytBlNY+HzD2KumRdYEhMtDB+4g==" saltValue="1pA5vPA1Ee2yxr5fuRlT5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tIcFUi10zjFQvUx2ugQJ2OVtjEPSHpG/ZYnBAEw4kiPXAO06FSqZbLlL41/PJLZp36UJEfC3PS8WQHpZDKWWA==" saltValue="iWbQHlyiYGbvZaWkLA7s5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v>4083</v>
      </c>
      <c r="J9" s="180">
        <v>2565</v>
      </c>
      <c r="K9" s="180">
        <v>2082</v>
      </c>
      <c r="L9" s="180">
        <v>4572</v>
      </c>
      <c r="M9" s="180">
        <v>575</v>
      </c>
      <c r="N9" s="180">
        <v>991</v>
      </c>
      <c r="O9" s="180">
        <v>1101</v>
      </c>
      <c r="P9" s="180">
        <v>476</v>
      </c>
      <c r="Q9" s="180">
        <v>697</v>
      </c>
      <c r="R9" s="180">
        <v>7794</v>
      </c>
      <c r="S9" s="180">
        <v>6070</v>
      </c>
      <c r="T9" s="180">
        <v>2983</v>
      </c>
      <c r="U9" s="180">
        <v>3572</v>
      </c>
      <c r="V9" s="180">
        <v>5451</v>
      </c>
      <c r="W9" s="180">
        <v>646</v>
      </c>
      <c r="X9" s="187">
        <v>1723</v>
      </c>
      <c r="Y9" s="190">
        <v>249</v>
      </c>
      <c r="Z9" s="180">
        <v>200</v>
      </c>
      <c r="AA9" s="180">
        <v>209</v>
      </c>
      <c r="AB9" s="180">
        <v>240</v>
      </c>
      <c r="AC9" s="180">
        <v>0</v>
      </c>
      <c r="AD9" s="180">
        <v>0</v>
      </c>
      <c r="AE9" s="180">
        <v>0</v>
      </c>
      <c r="AF9" s="187">
        <v>0</v>
      </c>
      <c r="AG9" s="190">
        <v>161</v>
      </c>
      <c r="AH9" s="180">
        <v>221</v>
      </c>
      <c r="AI9" s="180">
        <v>153</v>
      </c>
      <c r="AJ9" s="191">
        <v>229</v>
      </c>
      <c r="AK9" s="179">
        <v>0</v>
      </c>
      <c r="AL9" s="180">
        <v>0</v>
      </c>
      <c r="AM9" s="180">
        <v>0</v>
      </c>
      <c r="AN9" s="187">
        <v>0</v>
      </c>
      <c r="AO9" s="257">
        <v>6</v>
      </c>
      <c r="AP9" s="153">
        <v>6</v>
      </c>
      <c r="AQ9" s="153">
        <v>6</v>
      </c>
      <c r="AR9" s="192">
        <v>6</v>
      </c>
      <c r="AS9" s="337" t="s">
        <v>763</v>
      </c>
      <c r="AT9" s="194"/>
      <c r="AU9" s="193"/>
      <c r="AV9" s="194"/>
      <c r="AW9" s="193"/>
      <c r="AX9" s="194"/>
      <c r="AY9" s="123">
        <f>IF(ISNUMBER(IF(J_V="SI",S9,S9+AG9)),IF(J_V="SI",S9,S9+AG9)," - ")</f>
        <v>6231</v>
      </c>
      <c r="AZ9" s="123">
        <f>IF(ISNUMBER(IF(J_V="SI",T9,T9+AH9)),IF(J_V="SI",T9,T9+AH9)," - ")</f>
        <v>3204</v>
      </c>
      <c r="BA9" s="124">
        <f>IF(ISNUMBER(IF(J_V="SI",U9,U9+AI9)),IF(J_V="SI",U9,U9+AI9)," - ")</f>
        <v>3725</v>
      </c>
      <c r="BB9" s="124">
        <f>IF(ISNUMBER(IF(J_V="SI",V9,V9+AJ9)),IF(J_V="SI",V9,V9+AJ9)," - ")</f>
        <v>5680</v>
      </c>
      <c r="BC9" s="125">
        <f>IF(ISNUMBER(X9),X9," - ")</f>
        <v>1723</v>
      </c>
      <c r="BD9" s="126">
        <f>IF(ISNUMBER(BA9/AZ9),BA9/AZ9," - ")</f>
        <v>1.1626092384519351</v>
      </c>
      <c r="BE9" s="127">
        <f>IF(ISNUMBER(BB9/BA9),BB9/BA9, " - ")</f>
        <v>1.5248322147651008</v>
      </c>
      <c r="BF9" s="127">
        <f>IF(ISNUMBER(BC9/BA9),BC9/BA9, " - ")</f>
        <v>0.46255033557046982</v>
      </c>
      <c r="BG9" s="195">
        <f>IF(ISNUMBER((AY9+AZ9)/BA9),(AY9+AZ9)/BA9," - ")</f>
        <v>2.5328859060402684</v>
      </c>
      <c r="BH9" s="153">
        <v>6</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97</v>
      </c>
      <c r="J10" s="180">
        <v>35</v>
      </c>
      <c r="K10" s="180">
        <v>24</v>
      </c>
      <c r="L10" s="180">
        <v>114</v>
      </c>
      <c r="M10" s="180">
        <v>12</v>
      </c>
      <c r="N10" s="180">
        <v>9</v>
      </c>
      <c r="O10" s="180">
        <v>7</v>
      </c>
      <c r="P10" s="180">
        <v>15</v>
      </c>
      <c r="Q10" s="180">
        <v>35</v>
      </c>
      <c r="R10" s="180">
        <v>62</v>
      </c>
      <c r="S10" s="180">
        <v>89</v>
      </c>
      <c r="T10" s="180">
        <v>29</v>
      </c>
      <c r="U10" s="180">
        <v>27</v>
      </c>
      <c r="V10" s="180">
        <v>91</v>
      </c>
      <c r="W10" s="180">
        <v>11</v>
      </c>
      <c r="X10" s="187">
        <v>8</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89</v>
      </c>
      <c r="AZ10" s="129">
        <f t="shared" si="0"/>
        <v>29</v>
      </c>
      <c r="BA10" s="129">
        <f t="shared" si="0"/>
        <v>27</v>
      </c>
      <c r="BB10" s="129">
        <f t="shared" si="0"/>
        <v>91</v>
      </c>
      <c r="BC10" s="125">
        <f t="shared" si="0"/>
        <v>11</v>
      </c>
      <c r="BD10" s="126">
        <f>IF(ISNUMBER(BA10/AZ10),BA10/AZ10," - ")</f>
        <v>0.93103448275862066</v>
      </c>
      <c r="BE10" s="127">
        <f>IF(ISNUMBER(BB10/BA10),BB10/BA10, " - ")</f>
        <v>3.3703703703703702</v>
      </c>
      <c r="BF10" s="127">
        <f>IF(ISNUMBER(BC10/BA10),BC10/BA10, " - ")</f>
        <v>0.40740740740740738</v>
      </c>
      <c r="BG10" s="195">
        <f>IF(ISNUMBER((AY10+AZ10)/BA10),(AY10+AZ10)/BA10," - ")</f>
        <v>4.3703703703703702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t="s">
        <v>768</v>
      </c>
      <c r="J12" s="182" t="s">
        <v>764</v>
      </c>
      <c r="K12" s="182" t="s">
        <v>806</v>
      </c>
      <c r="L12" s="182" t="s">
        <v>771</v>
      </c>
      <c r="M12" s="182" t="s">
        <v>489</v>
      </c>
      <c r="N12" s="182" t="s">
        <v>504</v>
      </c>
      <c r="O12" s="180" t="s">
        <v>225</v>
      </c>
      <c r="P12" s="182" t="s">
        <v>39</v>
      </c>
      <c r="Q12" s="182" t="s">
        <v>40</v>
      </c>
      <c r="R12" s="182" t="s">
        <v>91</v>
      </c>
      <c r="S12" s="182"/>
      <c r="T12" s="182"/>
      <c r="U12" s="182"/>
      <c r="V12" s="182"/>
      <c r="W12" s="182"/>
      <c r="X12" s="188"/>
      <c r="Y12" s="190" t="s">
        <v>136</v>
      </c>
      <c r="Z12" s="180" t="s">
        <v>137</v>
      </c>
      <c r="AA12" s="180" t="s">
        <v>138</v>
      </c>
      <c r="AB12" s="180" t="s">
        <v>139</v>
      </c>
      <c r="AC12" s="182"/>
      <c r="AD12" s="182"/>
      <c r="AE12" s="182"/>
      <c r="AF12" s="188"/>
      <c r="AG12" s="201"/>
      <c r="AH12" s="182"/>
      <c r="AI12" s="182"/>
      <c r="AJ12" s="202"/>
      <c r="AK12" s="181"/>
      <c r="AL12" s="182"/>
      <c r="AM12" s="182"/>
      <c r="AN12" s="188"/>
      <c r="AO12" s="258">
        <v>0</v>
      </c>
      <c r="AP12" s="154">
        <v>0</v>
      </c>
      <c r="AQ12" s="154">
        <v>0</v>
      </c>
      <c r="AR12" s="153">
        <v>0</v>
      </c>
      <c r="AS12" s="339" t="s">
        <v>766</v>
      </c>
      <c r="AT12" s="202"/>
      <c r="AU12" s="201"/>
      <c r="AV12" s="202"/>
      <c r="AW12" s="201"/>
      <c r="AX12" s="202"/>
      <c r="AY12" s="126">
        <f t="shared" si="1"/>
        <v>0</v>
      </c>
      <c r="AZ12" s="127">
        <f t="shared" si="1"/>
        <v>0</v>
      </c>
      <c r="BA12" s="127">
        <f t="shared" si="1"/>
        <v>0</v>
      </c>
      <c r="BB12" s="127">
        <f t="shared" si="1"/>
        <v>0</v>
      </c>
      <c r="BC12" s="125" t="str">
        <f>IF(ISNUMBER(X12),X12," - ")</f>
        <v xml:space="preserve"> - </v>
      </c>
      <c r="BD12" s="126" t="str">
        <f t="shared" si="2"/>
        <v xml:space="preserve"> - </v>
      </c>
      <c r="BE12" s="127" t="str">
        <f t="shared" si="3"/>
        <v xml:space="preserve"> - </v>
      </c>
      <c r="BF12" s="127" t="str">
        <f t="shared" si="4"/>
        <v xml:space="preserve"> - </v>
      </c>
      <c r="BG12" s="195" t="str">
        <f t="shared" si="5"/>
        <v xml:space="preserve"> - </v>
      </c>
      <c r="BH12" s="154">
        <v>0</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4180</v>
      </c>
      <c r="J13" s="183">
        <f t="shared" si="6"/>
        <v>2600</v>
      </c>
      <c r="K13" s="183">
        <f t="shared" si="6"/>
        <v>2106</v>
      </c>
      <c r="L13" s="183">
        <f t="shared" si="6"/>
        <v>4686</v>
      </c>
      <c r="M13" s="183">
        <f t="shared" si="6"/>
        <v>587</v>
      </c>
      <c r="N13" s="183">
        <f t="shared" si="6"/>
        <v>1000</v>
      </c>
      <c r="O13" s="183">
        <f t="shared" si="6"/>
        <v>1108</v>
      </c>
      <c r="P13" s="183">
        <f t="shared" si="6"/>
        <v>491</v>
      </c>
      <c r="Q13" s="183">
        <f t="shared" si="6"/>
        <v>732</v>
      </c>
      <c r="R13" s="183">
        <f t="shared" si="6"/>
        <v>7856</v>
      </c>
      <c r="S13" s="183">
        <f t="shared" si="6"/>
        <v>6159</v>
      </c>
      <c r="T13" s="183">
        <f t="shared" si="6"/>
        <v>3012</v>
      </c>
      <c r="U13" s="183">
        <f t="shared" si="6"/>
        <v>3599</v>
      </c>
      <c r="V13" s="183">
        <f t="shared" si="6"/>
        <v>5542</v>
      </c>
      <c r="W13" s="183">
        <f t="shared" si="6"/>
        <v>657</v>
      </c>
      <c r="X13" s="183">
        <f t="shared" si="6"/>
        <v>1731</v>
      </c>
      <c r="Y13" s="183">
        <f t="shared" si="6"/>
        <v>249</v>
      </c>
      <c r="Z13" s="183">
        <f t="shared" si="6"/>
        <v>200</v>
      </c>
      <c r="AA13" s="183">
        <f t="shared" si="6"/>
        <v>209</v>
      </c>
      <c r="AB13" s="183">
        <f t="shared" si="6"/>
        <v>240</v>
      </c>
      <c r="AC13" s="183">
        <f t="shared" si="6"/>
        <v>0</v>
      </c>
      <c r="AD13" s="183">
        <f t="shared" si="6"/>
        <v>0</v>
      </c>
      <c r="AE13" s="183">
        <f t="shared" si="6"/>
        <v>0</v>
      </c>
      <c r="AF13" s="183">
        <f>SUBTOTAL(9,AF9:AF12)</f>
        <v>0</v>
      </c>
      <c r="AG13" s="183">
        <f t="shared" ref="AG13:AT13" si="7">SUBTOTAL(9,AG8:AG12)</f>
        <v>161</v>
      </c>
      <c r="AH13" s="183">
        <f t="shared" si="7"/>
        <v>221</v>
      </c>
      <c r="AI13" s="183">
        <f t="shared" si="7"/>
        <v>153</v>
      </c>
      <c r="AJ13" s="183">
        <f t="shared" si="7"/>
        <v>229</v>
      </c>
      <c r="AK13" s="183">
        <f t="shared" si="7"/>
        <v>0</v>
      </c>
      <c r="AL13" s="183">
        <f t="shared" si="7"/>
        <v>0</v>
      </c>
      <c r="AM13" s="183">
        <f t="shared" si="7"/>
        <v>0</v>
      </c>
      <c r="AN13" s="183">
        <f t="shared" si="7"/>
        <v>0</v>
      </c>
      <c r="AO13" s="183">
        <f t="shared" si="7"/>
        <v>7</v>
      </c>
      <c r="AP13" s="183">
        <f t="shared" si="7"/>
        <v>7</v>
      </c>
      <c r="AQ13" s="183">
        <f t="shared" si="7"/>
        <v>7</v>
      </c>
      <c r="AR13" s="183">
        <f t="shared" si="7"/>
        <v>7</v>
      </c>
      <c r="AS13" s="183">
        <f t="shared" si="7"/>
        <v>0</v>
      </c>
      <c r="AT13" s="183">
        <f t="shared" si="7"/>
        <v>0</v>
      </c>
      <c r="AU13" s="203"/>
      <c r="AV13" s="132"/>
      <c r="AW13" s="203"/>
      <c r="AX13" s="132"/>
      <c r="AY13" s="183">
        <f>SUBTOTAL(9,AY8:AY12)</f>
        <v>6320</v>
      </c>
      <c r="AZ13" s="183">
        <f>SUBTOTAL(9,AZ8:AZ12)</f>
        <v>3233</v>
      </c>
      <c r="BA13" s="183">
        <f>SUBTOTAL(9,BA8:BA12)</f>
        <v>3752</v>
      </c>
      <c r="BB13" s="183">
        <f>SUBTOTAL(9,BB8:BB12)</f>
        <v>5771</v>
      </c>
      <c r="BC13" s="183">
        <f>SUBTOTAL(9,BC8:BC12)</f>
        <v>1734</v>
      </c>
      <c r="BD13" s="204">
        <f>IF(ISNUMBER(BA13/AZ13),BA13/AZ13," - ")</f>
        <v>1.1605320136096504</v>
      </c>
      <c r="BE13" s="205">
        <f>IF(ISNUMBER(BB13/BA13),BB13/BA13, " - ")</f>
        <v>1.5381130063965884</v>
      </c>
      <c r="BF13" s="205">
        <f>IF(ISNUMBER(BC13/BA13),BC13/BA13, " - ")</f>
        <v>0.4621535181236674</v>
      </c>
      <c r="BG13" s="206">
        <f>IF(ISNUMBER((AY13+AZ13)/BA13),(AY13+AZ13)/BA13," - ")</f>
        <v>2.5461087420042645</v>
      </c>
      <c r="BH13" s="139">
        <f>SUBTOTAL(9,BH8:BH12)</f>
        <v>7</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v>2676</v>
      </c>
      <c r="J15" s="182">
        <v>2241</v>
      </c>
      <c r="K15" s="182">
        <v>2258</v>
      </c>
      <c r="L15" s="182">
        <v>2760</v>
      </c>
      <c r="M15" s="182">
        <v>412</v>
      </c>
      <c r="N15" s="182">
        <v>1167</v>
      </c>
      <c r="O15" s="180">
        <v>58</v>
      </c>
      <c r="P15" s="182">
        <v>139</v>
      </c>
      <c r="Q15" s="182">
        <v>110</v>
      </c>
      <c r="R15" s="182">
        <v>394</v>
      </c>
      <c r="S15" s="182">
        <v>2201</v>
      </c>
      <c r="T15" s="182">
        <v>2101</v>
      </c>
      <c r="U15" s="182">
        <v>2012</v>
      </c>
      <c r="V15" s="182">
        <v>2376</v>
      </c>
      <c r="W15" s="182">
        <v>392</v>
      </c>
      <c r="X15" s="188">
        <v>1071</v>
      </c>
      <c r="Y15" s="201">
        <v>0</v>
      </c>
      <c r="Z15" s="182">
        <v>0</v>
      </c>
      <c r="AA15" s="182">
        <v>0</v>
      </c>
      <c r="AB15" s="182">
        <v>0</v>
      </c>
      <c r="AC15" s="182">
        <v>2</v>
      </c>
      <c r="AD15" s="182">
        <v>69</v>
      </c>
      <c r="AE15" s="182">
        <v>71</v>
      </c>
      <c r="AF15" s="188">
        <v>0</v>
      </c>
      <c r="AG15" s="201">
        <v>0</v>
      </c>
      <c r="AH15" s="182">
        <v>0</v>
      </c>
      <c r="AI15" s="182">
        <v>0</v>
      </c>
      <c r="AJ15" s="202">
        <v>0</v>
      </c>
      <c r="AK15" s="181">
        <v>0</v>
      </c>
      <c r="AL15" s="182">
        <v>71</v>
      </c>
      <c r="AM15" s="182">
        <v>71</v>
      </c>
      <c r="AN15" s="188">
        <v>0</v>
      </c>
      <c r="AO15" s="258">
        <v>3</v>
      </c>
      <c r="AP15" s="154">
        <v>3</v>
      </c>
      <c r="AQ15" s="154">
        <v>3</v>
      </c>
      <c r="AR15" s="154">
        <v>3</v>
      </c>
      <c r="AS15" s="339" t="s">
        <v>520</v>
      </c>
      <c r="AT15" s="202" t="s">
        <v>327</v>
      </c>
      <c r="AU15" s="201"/>
      <c r="AV15" s="202"/>
      <c r="AW15" s="201"/>
      <c r="AX15" s="202"/>
      <c r="AY15" s="128">
        <f t="shared" ref="AY15:BB17" si="9">IF(ISNUMBER(IF(D_I="SI",S15,S15+AK15)),IF(D_I="SI",S15,S15+AK15)," - ")</f>
        <v>2201</v>
      </c>
      <c r="AZ15" s="129">
        <f t="shared" si="9"/>
        <v>2101</v>
      </c>
      <c r="BA15" s="129">
        <f t="shared" si="9"/>
        <v>2012</v>
      </c>
      <c r="BB15" s="129">
        <f t="shared" si="9"/>
        <v>2376</v>
      </c>
      <c r="BC15" s="125">
        <f>IF(ISNUMBER(W15),W15," - ")</f>
        <v>392</v>
      </c>
      <c r="BD15" s="126">
        <f>IF(ISNUMBER(BA15/AZ15),BA15/AZ15," - ")</f>
        <v>0.95763921941932417</v>
      </c>
      <c r="BE15" s="127">
        <f>IF(ISNUMBER(BB15/BA15),BB15/BA15, " - ")</f>
        <v>1.1809145129224652</v>
      </c>
      <c r="BF15" s="127">
        <f>IF(ISNUMBER(BC15/BA15),BC15/BA15, " - ")</f>
        <v>0.19483101391650098</v>
      </c>
      <c r="BG15" s="195">
        <f t="shared" ref="BG15:BG17" si="10">IF(ISNUMBER((AY15+AZ15)/BA15),(AY15+AZ15)/BA15," - ")</f>
        <v>2.1381709741550696</v>
      </c>
      <c r="BH15" s="154">
        <v>3</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t="s">
        <v>487</v>
      </c>
      <c r="J17" s="182" t="s">
        <v>483</v>
      </c>
      <c r="K17" s="182" t="s">
        <v>484</v>
      </c>
      <c r="L17" s="182" t="s">
        <v>485</v>
      </c>
      <c r="M17" s="182" t="s">
        <v>490</v>
      </c>
      <c r="N17" s="182" t="s">
        <v>151</v>
      </c>
      <c r="O17" s="180" t="s">
        <v>226</v>
      </c>
      <c r="P17" s="182" t="s">
        <v>471</v>
      </c>
      <c r="Q17" s="182" t="s">
        <v>472</v>
      </c>
      <c r="R17" s="182" t="s">
        <v>473</v>
      </c>
      <c r="S17" s="182"/>
      <c r="T17" s="182"/>
      <c r="U17" s="182"/>
      <c r="V17" s="182"/>
      <c r="W17" s="182"/>
      <c r="X17" s="188"/>
      <c r="Y17" s="201"/>
      <c r="Z17" s="182"/>
      <c r="AA17" s="182"/>
      <c r="AB17" s="182"/>
      <c r="AC17" s="182" t="s">
        <v>44</v>
      </c>
      <c r="AD17" s="182" t="s">
        <v>48</v>
      </c>
      <c r="AE17" s="182" t="s">
        <v>49</v>
      </c>
      <c r="AF17" s="188" t="s">
        <v>50</v>
      </c>
      <c r="AG17" s="201"/>
      <c r="AH17" s="182"/>
      <c r="AI17" s="182"/>
      <c r="AJ17" s="202"/>
      <c r="AK17" s="181"/>
      <c r="AL17" s="182"/>
      <c r="AM17" s="182"/>
      <c r="AN17" s="188"/>
      <c r="AO17" s="258">
        <v>0</v>
      </c>
      <c r="AP17" s="154">
        <v>0</v>
      </c>
      <c r="AQ17" s="154">
        <v>0</v>
      </c>
      <c r="AR17" s="154">
        <v>0</v>
      </c>
      <c r="AS17" s="339" t="s">
        <v>486</v>
      </c>
      <c r="AT17" s="202"/>
      <c r="AU17" s="201"/>
      <c r="AV17" s="202"/>
      <c r="AW17" s="201"/>
      <c r="AX17" s="202"/>
      <c r="AY17" s="126" t="str">
        <f t="shared" si="9"/>
        <v xml:space="preserve"> - </v>
      </c>
      <c r="AZ17" s="127" t="str">
        <f t="shared" si="9"/>
        <v xml:space="preserve"> - </v>
      </c>
      <c r="BA17" s="127" t="str">
        <f t="shared" si="9"/>
        <v xml:space="preserve"> - </v>
      </c>
      <c r="BB17" s="127" t="str">
        <f t="shared" si="9"/>
        <v xml:space="preserve"> - </v>
      </c>
      <c r="BC17" s="125" t="str">
        <f>IF(ISNUMBER(W17),W17," - ")</f>
        <v xml:space="preserve"> - </v>
      </c>
      <c r="BD17" s="126" t="str">
        <f t="shared" ref="BD17" si="16">IF(ISNUMBER(BA17/AZ17),BA17/AZ17," - ")</f>
        <v xml:space="preserve"> - </v>
      </c>
      <c r="BE17" s="127" t="str">
        <f t="shared" ref="BE17" si="17">IF(ISNUMBER(BB17/BA17),BB17/BA17, " - ")</f>
        <v xml:space="preserve"> - </v>
      </c>
      <c r="BF17" s="127" t="str">
        <f t="shared" ref="BF17" si="18">IF(ISNUMBER(BC17/BA17),BC17/BA17, " - ")</f>
        <v xml:space="preserve"> - </v>
      </c>
      <c r="BG17" s="195" t="str">
        <f t="shared" si="10"/>
        <v xml:space="preserve"> - </v>
      </c>
      <c r="BH17" s="154">
        <v>0</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103</v>
      </c>
      <c r="J18" s="182">
        <v>392</v>
      </c>
      <c r="K18" s="182">
        <v>360</v>
      </c>
      <c r="L18" s="182">
        <v>152</v>
      </c>
      <c r="M18" s="182">
        <v>90</v>
      </c>
      <c r="N18" s="182">
        <v>202</v>
      </c>
      <c r="O18" s="182">
        <v>0</v>
      </c>
      <c r="P18" s="182">
        <v>12</v>
      </c>
      <c r="Q18" s="182">
        <v>11</v>
      </c>
      <c r="R18" s="182">
        <v>16</v>
      </c>
      <c r="S18" s="182">
        <v>124</v>
      </c>
      <c r="T18" s="182">
        <v>252</v>
      </c>
      <c r="U18" s="182">
        <v>240</v>
      </c>
      <c r="V18" s="182">
        <v>136</v>
      </c>
      <c r="W18" s="182">
        <v>70</v>
      </c>
      <c r="X18" s="188">
        <v>165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124</v>
      </c>
      <c r="AZ18" s="129">
        <f t="shared" si="19"/>
        <v>252</v>
      </c>
      <c r="BA18" s="129">
        <f t="shared" si="19"/>
        <v>240</v>
      </c>
      <c r="BB18" s="129">
        <f t="shared" si="19"/>
        <v>136</v>
      </c>
      <c r="BC18" s="125">
        <f>IF(ISNUMBER(W18),W18," - ")</f>
        <v>70</v>
      </c>
      <c r="BD18" s="126">
        <f>IF(ISNUMBER(BA18/AZ18),BA18/AZ18," - ")</f>
        <v>0.95238095238095233</v>
      </c>
      <c r="BE18" s="127">
        <f>IF(ISNUMBER(BB18/BA18),BB18/BA18, " - ")</f>
        <v>0.56666666666666665</v>
      </c>
      <c r="BF18" s="127">
        <f>IF(ISNUMBER(BC18/BA18),BC18/BA18, " - ")</f>
        <v>0.29166666666666669</v>
      </c>
      <c r="BG18" s="195">
        <f>IF(ISNUMBER((AY18+AZ18)/BA18),(AY18+AZ18)/BA18," - ")</f>
        <v>1.5666666666666667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2779</v>
      </c>
      <c r="J19" s="183">
        <f t="shared" si="20"/>
        <v>2633</v>
      </c>
      <c r="K19" s="183">
        <f t="shared" si="20"/>
        <v>2618</v>
      </c>
      <c r="L19" s="183">
        <f t="shared" si="20"/>
        <v>2912</v>
      </c>
      <c r="M19" s="183">
        <f t="shared" si="20"/>
        <v>502</v>
      </c>
      <c r="N19" s="183">
        <f t="shared" si="20"/>
        <v>1369</v>
      </c>
      <c r="O19" s="183">
        <f t="shared" si="20"/>
        <v>58</v>
      </c>
      <c r="P19" s="183">
        <f t="shared" si="20"/>
        <v>151</v>
      </c>
      <c r="Q19" s="183">
        <f t="shared" si="20"/>
        <v>121</v>
      </c>
      <c r="R19" s="183">
        <f t="shared" si="20"/>
        <v>410</v>
      </c>
      <c r="S19" s="183">
        <f t="shared" si="20"/>
        <v>2325</v>
      </c>
      <c r="T19" s="183">
        <f t="shared" si="20"/>
        <v>2353</v>
      </c>
      <c r="U19" s="183">
        <f t="shared" si="20"/>
        <v>2252</v>
      </c>
      <c r="V19" s="183">
        <f t="shared" si="20"/>
        <v>2512</v>
      </c>
      <c r="W19" s="183">
        <f t="shared" si="20"/>
        <v>462</v>
      </c>
      <c r="X19" s="183">
        <f t="shared" si="20"/>
        <v>1236</v>
      </c>
      <c r="Y19" s="183">
        <f t="shared" si="20"/>
        <v>0</v>
      </c>
      <c r="Z19" s="183">
        <f t="shared" si="20"/>
        <v>0</v>
      </c>
      <c r="AA19" s="183">
        <f t="shared" si="20"/>
        <v>0</v>
      </c>
      <c r="AB19" s="183">
        <f t="shared" si="20"/>
        <v>0</v>
      </c>
      <c r="AC19" s="183">
        <f t="shared" si="20"/>
        <v>2</v>
      </c>
      <c r="AD19" s="183">
        <f t="shared" si="20"/>
        <v>69</v>
      </c>
      <c r="AE19" s="183">
        <f t="shared" si="20"/>
        <v>71</v>
      </c>
      <c r="AF19" s="183">
        <f t="shared" si="20"/>
        <v>0</v>
      </c>
      <c r="AG19" s="183">
        <f t="shared" si="20"/>
        <v>0</v>
      </c>
      <c r="AH19" s="183">
        <f t="shared" si="20"/>
        <v>0</v>
      </c>
      <c r="AI19" s="183">
        <f t="shared" si="20"/>
        <v>0</v>
      </c>
      <c r="AJ19" s="183">
        <f t="shared" si="20"/>
        <v>0</v>
      </c>
      <c r="AK19" s="183">
        <f t="shared" si="20"/>
        <v>0</v>
      </c>
      <c r="AL19" s="183">
        <f t="shared" si="20"/>
        <v>71</v>
      </c>
      <c r="AM19" s="183">
        <f t="shared" si="20"/>
        <v>71</v>
      </c>
      <c r="AN19" s="183">
        <f t="shared" si="20"/>
        <v>0</v>
      </c>
      <c r="AO19" s="183">
        <f t="shared" si="20"/>
        <v>4</v>
      </c>
      <c r="AP19" s="183">
        <f t="shared" si="20"/>
        <v>4</v>
      </c>
      <c r="AQ19" s="183">
        <f t="shared" si="20"/>
        <v>4</v>
      </c>
      <c r="AR19" s="183">
        <f t="shared" si="20"/>
        <v>4</v>
      </c>
      <c r="AS19" s="183">
        <f t="shared" si="20"/>
        <v>0</v>
      </c>
      <c r="AT19" s="183">
        <f t="shared" si="20"/>
        <v>0</v>
      </c>
      <c r="AU19" s="203"/>
      <c r="AV19" s="132"/>
      <c r="AW19" s="203"/>
      <c r="AX19" s="132"/>
      <c r="AY19" s="183">
        <f>SUBTOTAL(9,AY14:AY18)</f>
        <v>2325</v>
      </c>
      <c r="AZ19" s="183">
        <f>SUBTOTAL(9,AZ14:AZ18)</f>
        <v>2353</v>
      </c>
      <c r="BA19" s="183">
        <f>SUBTOTAL(9,BA14:BA18)</f>
        <v>2252</v>
      </c>
      <c r="BB19" s="183">
        <f>SUBTOTAL(9,BB14:BB18)</f>
        <v>2512</v>
      </c>
      <c r="BC19" s="183">
        <f>SUBTOTAL(9,BC14:BC18)</f>
        <v>462</v>
      </c>
      <c r="BD19" s="204">
        <f>IF(ISNUMBER(BA19/AZ19),BA19/AZ19," - ")</f>
        <v>0.95707607309817255</v>
      </c>
      <c r="BE19" s="205">
        <f>IF(ISNUMBER(BB19/BA19),BB19/BA19, " - ")</f>
        <v>1.1154529307282415</v>
      </c>
      <c r="BF19" s="205">
        <f>IF(ISNUMBER(BC19/BA19),BC19/BA19, " - ")</f>
        <v>0.20515097690941386</v>
      </c>
      <c r="BG19" s="206">
        <f>IF(ISNUMBER((AY19+AZ19)/BA19),(AY19+AZ19)/BA19," - ")</f>
        <v>2.0772646536412078</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6959</v>
      </c>
      <c r="J20" s="134">
        <f t="shared" si="23"/>
        <v>5233</v>
      </c>
      <c r="K20" s="134">
        <f t="shared" si="23"/>
        <v>4724</v>
      </c>
      <c r="L20" s="134">
        <f t="shared" si="23"/>
        <v>7598</v>
      </c>
      <c r="M20" s="134">
        <f t="shared" si="23"/>
        <v>1089</v>
      </c>
      <c r="N20" s="134">
        <f t="shared" si="23"/>
        <v>2369</v>
      </c>
      <c r="O20" s="134">
        <f t="shared" si="23"/>
        <v>1166</v>
      </c>
      <c r="P20" s="134">
        <f t="shared" si="23"/>
        <v>642</v>
      </c>
      <c r="Q20" s="134">
        <f t="shared" si="23"/>
        <v>853</v>
      </c>
      <c r="R20" s="134">
        <f t="shared" si="23"/>
        <v>8266</v>
      </c>
      <c r="S20" s="134">
        <f t="shared" si="23"/>
        <v>8484</v>
      </c>
      <c r="T20" s="134">
        <f t="shared" si="23"/>
        <v>5365</v>
      </c>
      <c r="U20" s="134">
        <f t="shared" si="23"/>
        <v>5851</v>
      </c>
      <c r="V20" s="134">
        <f t="shared" si="23"/>
        <v>8054</v>
      </c>
      <c r="W20" s="134">
        <f t="shared" si="23"/>
        <v>1119</v>
      </c>
      <c r="X20" s="134">
        <f t="shared" si="23"/>
        <v>2967</v>
      </c>
      <c r="Y20" s="134">
        <f t="shared" si="23"/>
        <v>249</v>
      </c>
      <c r="Z20" s="134">
        <f t="shared" si="23"/>
        <v>200</v>
      </c>
      <c r="AA20" s="134">
        <f t="shared" si="23"/>
        <v>209</v>
      </c>
      <c r="AB20" s="134">
        <f t="shared" si="23"/>
        <v>240</v>
      </c>
      <c r="AC20" s="134">
        <f t="shared" si="23"/>
        <v>2</v>
      </c>
      <c r="AD20" s="134">
        <f t="shared" si="23"/>
        <v>69</v>
      </c>
      <c r="AE20" s="134">
        <f t="shared" si="23"/>
        <v>71</v>
      </c>
      <c r="AF20" s="134">
        <f t="shared" si="23"/>
        <v>0</v>
      </c>
      <c r="AG20" s="134">
        <f t="shared" si="23"/>
        <v>161</v>
      </c>
      <c r="AH20" s="134">
        <f t="shared" si="23"/>
        <v>221</v>
      </c>
      <c r="AI20" s="134">
        <f t="shared" si="23"/>
        <v>153</v>
      </c>
      <c r="AJ20" s="134">
        <f t="shared" si="23"/>
        <v>229</v>
      </c>
      <c r="AK20" s="134">
        <f t="shared" si="23"/>
        <v>0</v>
      </c>
      <c r="AL20" s="134">
        <f t="shared" si="23"/>
        <v>71</v>
      </c>
      <c r="AM20" s="134">
        <f t="shared" si="23"/>
        <v>71</v>
      </c>
      <c r="AN20" s="209">
        <f t="shared" si="23"/>
        <v>0</v>
      </c>
      <c r="AO20" s="210">
        <v>10</v>
      </c>
      <c r="AP20" s="210">
        <v>10</v>
      </c>
      <c r="AQ20" s="210">
        <v>10</v>
      </c>
      <c r="AR20" s="210">
        <v>10</v>
      </c>
      <c r="AS20" s="152">
        <f t="shared" si="23"/>
        <v>0</v>
      </c>
      <c r="AT20" s="152">
        <f t="shared" si="23"/>
        <v>0</v>
      </c>
      <c r="AU20" s="210"/>
      <c r="AV20" s="211"/>
      <c r="AW20" s="210"/>
      <c r="AX20" s="211"/>
      <c r="AY20" s="133">
        <f>SUBTOTAL(9,AY9:AY19)</f>
        <v>8645</v>
      </c>
      <c r="AZ20" s="134">
        <f>SUBTOTAL(9,AZ9:AZ19)</f>
        <v>5586</v>
      </c>
      <c r="BA20" s="134">
        <f>SUBTOTAL(9,BA9:BA19)</f>
        <v>6004</v>
      </c>
      <c r="BB20" s="134">
        <f>SUBTOTAL(9,BB9:BB19)</f>
        <v>8283</v>
      </c>
      <c r="BC20" s="135">
        <f>SUBTOTAL(9,BC9:BC19)</f>
        <v>2196</v>
      </c>
      <c r="BD20" s="212">
        <f>IF(ISNUMBER(BA20/AZ20),BA20/AZ20," - ")</f>
        <v>1.0748299319727892</v>
      </c>
      <c r="BE20" s="209">
        <f>IF(ISNUMBER(BB20/BA20),BB20/BA20, " - ")</f>
        <v>1.3795802798134578</v>
      </c>
      <c r="BF20" s="209">
        <f>IF(ISNUMBER(BC20/BA20),BC20/BA20, " - ")</f>
        <v>0.36575616255829446</v>
      </c>
      <c r="BG20" s="135">
        <f>IF(ISNUMBER((AY20+AZ20)/BA20),(AY20+AZ20)/BA20," - ")</f>
        <v>2.3702531645569622</v>
      </c>
      <c r="BH20" s="210">
        <f>SUBTOTAL(9,BH9:BH19)</f>
        <v>11</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2A6moreHCNrEgW1eFH+A5n0OZxCd4HjqDAq4fentJ5bMjxYFuwvJFDTRfxNKfJ7iiNK0xymZE/7s4h4ZL0R6JQ==" saltValue="BsgHU/1lo2Zz+dbQdxFac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yanL2unA1o0vIr4WXp2LYtg+Fb6bMpH1YRBg8yts0zPRLzypcDo7UvCHkVYU5AKe8gDrKMK9icXN2qdjm9p4A==" saltValue="bdvWwCmShtjfwgzAuhnuS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GANDIA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200</v>
      </c>
      <c r="O9" s="333"/>
      <c r="P9" s="333"/>
      <c r="Q9" s="225">
        <f>IF(ISNUMBER(Datos!P9),Datos!P9,0)</f>
        <v>476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f>IF(ISNUMBER(Datos!Q9),Datos!Q9," - ")</f>
        <v>697</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f>IF(ISNUMBER(Datos!AB9),Datos!AB9,"-")</f>
        <v>240</v>
      </c>
      <c r="AI9" s="333" t="str">
        <f>IF(ISNUMBER(Datos!CD9),Datos!CD9,"-")</f>
        <v>-</v>
      </c>
      <c r="AJ9" s="333" t="str">
        <f>IF(ISNUMBER(Datos!EN9),Datos!EN9," - ")</f>
        <v xml:space="preserve"> - </v>
      </c>
      <c r="AK9" s="333"/>
      <c r="AL9" s="478"/>
      <c r="AM9" s="334">
        <f>IF(ISNUMBER(Datos!R9),Datos!R9," - ")</f>
        <v>7794</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f>IF(ISNUMBER(Datos!M9),Datos!M9," - ")</f>
        <v>575</v>
      </c>
      <c r="BD9" s="228">
        <f>IF(ISNUMBER(Datos!N9),Datos!N9," - ")</f>
        <v>991</v>
      </c>
      <c r="BE9" s="228" t="str">
        <f>IF(ISNUMBER(Datos!BW9),Datos!BW9," - ")</f>
        <v xml:space="preserve"> - </v>
      </c>
      <c r="BF9" s="227" t="str">
        <f>IF(ISNUMBER(Datos!BX9),Datos!BX9," - ")</f>
        <v xml:space="preserve"> - </v>
      </c>
      <c r="BG9" s="242">
        <f>IF(ISNUMBER(IF(J_V="SI",Datos!K9/Datos!J9,(Datos!K9+Datos!AA9)/(Datos!J9+Datos!Z9))),IF(J_V="SI",Datos!K9/Datos!J9,(Datos!K9+Datos!AA9)/(Datos!J9+Datos!Z9))," - ")</f>
        <v>0.82857142857142863</v>
      </c>
      <c r="BH9" s="259">
        <f>IF(ISNUMBER(((IF(J_V="SI",Datos!L9/Datos!K9,(Datos!L9+Datos!AB9)/(Datos!K9+Datos!AA9)))*11)/factor_trimestre),((IF(J_V="SI",Datos!L9/Datos!K9,(Datos!L9+Datos!AB9)/(Datos!K9+Datos!AA9)))*11)/factor_trimestre," - ")</f>
        <v>6.3011785246617196</v>
      </c>
      <c r="BI9" s="242"/>
      <c r="BJ9" s="229"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-2.7573300062383031E-2</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103</v>
      </c>
      <c r="G10" s="332">
        <f>IF(ISNUMBER(Datos!I10),Datos!I10," - ")</f>
        <v>97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24</v>
      </c>
      <c r="AC10" s="225">
        <f>IF(ISNUMBER(Datos!Q10),Datos!Q10," - ")</f>
        <v>35</v>
      </c>
      <c r="AD10" s="333"/>
      <c r="AE10" s="483"/>
      <c r="AF10" s="331">
        <f>IF(ISNUMBER(Datos!L10),Datos!L10,"-")</f>
        <v>114</v>
      </c>
      <c r="AG10" s="333"/>
      <c r="AH10" s="333"/>
      <c r="AI10" s="333"/>
      <c r="AJ10" s="333"/>
      <c r="AK10" s="333"/>
      <c r="AL10" s="478"/>
      <c r="AM10" s="334">
        <f>IF(ISNUMBER(Datos!R10),Datos!R10," - ")</f>
        <v>62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12</v>
      </c>
      <c r="BD10" s="228">
        <f>IF(ISNUMBER(Datos!N10),Datos!N10," - ")</f>
        <v>9</v>
      </c>
      <c r="BE10" s="228" t="str">
        <f>IF(ISNUMBER(Datos!BW10),Datos!BW10," - ")</f>
        <v xml:space="preserve"> - </v>
      </c>
      <c r="BF10" s="227" t="str">
        <f>IF(ISNUMBER(Datos!BX10),Datos!BX10," - ")</f>
        <v xml:space="preserve"> - </v>
      </c>
      <c r="BG10" s="242">
        <f>IF(ISNUMBER(Datos!K10/Datos!J10),Datos!K10/Datos!J10," - ")</f>
        <v>0.68571428571428572</v>
      </c>
      <c r="BH10" s="259">
        <f>IF(ISNUMBER(((Datos!L10/Datos!K10)*11)/factor_trimestre),((Datos!L10/Datos!K10)*11)/factor_trimestre," - ")</f>
        <v>14.25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-0.24390243902439024</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t="str">
        <f>IF(ISNUMBER(Datos!Q12),Datos!Q12," - ")</f>
        <v xml:space="preserve"> - </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t="str">
        <f>IF(ISNUMBER(Datos!AB12),Datos!AB12,"-")</f>
        <v>-</v>
      </c>
      <c r="AI12" s="333" t="str">
        <f>IF(ISNUMBER(Datos!CD12),Datos!CD12,"-")</f>
        <v>-</v>
      </c>
      <c r="AJ12" s="333" t="str">
        <f>IF(ISNUMBER(Datos!EN12),Datos!EN12," - ")</f>
        <v xml:space="preserve"> - </v>
      </c>
      <c r="AK12" s="333"/>
      <c r="AL12" s="478"/>
      <c r="AM12" s="33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t="str">
        <f>IF(ISNUMBER(Datos!M12),Datos!M12," - ")</f>
        <v xml:space="preserve"> - </v>
      </c>
      <c r="BD12" s="228" t="str">
        <f>IF(ISNUMBER(Datos!N12),Datos!N12," - ")</f>
        <v xml:space="preserve"> - </v>
      </c>
      <c r="BE12" s="228" t="str">
        <f>IF(ISNUMBER(Datos!BW12),Datos!BW12," - ")</f>
        <v xml:space="preserve"> - </v>
      </c>
      <c r="BF12" s="227" t="str">
        <f>IF(ISNUMBER(Datos!BX12),Datos!BX12," - ")</f>
        <v xml:space="preserve"> - </v>
      </c>
      <c r="BG12" s="242" t="str">
        <f>IF(ISNUMBER(IF(J_V="SI",Datos!K12/Datos!J12,(Datos!K12+Datos!AA12)/(Datos!J12+Datos!Z12))),IF(J_V="SI",Datos!K12/Datos!J12,(Datos!K12+Datos!AA12)/(Datos!J12+Datos!Z12))," - ")</f>
        <v xml:space="preserve"> - </v>
      </c>
      <c r="BH12" s="259" t="str">
        <f>IF(ISNUMBER(((IF(J_V="SI",Datos!L12/Datos!K12,(Datos!L12+Datos!AB12)/(Datos!K12+Datos!AA12)))*11)/factor_trimestre),((IF(J_V="SI",Datos!L12/Datos!K12,(Datos!L12+Datos!AB12)/(Datos!K12+Datos!AA12)))*11)/factor_trimestre," - ")</f>
        <v xml:space="preserve"> - </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t="str">
        <f>IF(ISNUMBER((Datos!P12-Datos!Q12+Datos!DE12)/(Datos!R12-Datos!P12+Datos!Q12-Datos!DE12)),(Datos!P12-Datos!Q12+Datos!DE12)/(Datos!R12-Datos!P12+Datos!Q12-Datos!DE12)," - ")</f>
        <v xml:space="preserve"> - </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7</v>
      </c>
      <c r="F13" s="895">
        <f t="shared" si="0"/>
        <v>103</v>
      </c>
      <c r="G13" s="895">
        <f t="shared" si="0"/>
        <v>97</v>
      </c>
      <c r="H13" s="896">
        <f t="shared" si="0"/>
        <v>0</v>
      </c>
      <c r="I13" s="895">
        <f t="shared" si="0"/>
        <v>0</v>
      </c>
      <c r="J13" s="864">
        <f t="shared" si="0"/>
        <v>0</v>
      </c>
      <c r="K13" s="864">
        <f t="shared" si="0"/>
        <v>0</v>
      </c>
      <c r="L13" s="896">
        <f t="shared" si="0"/>
        <v>0</v>
      </c>
      <c r="M13" s="896">
        <f t="shared" si="0"/>
        <v>0</v>
      </c>
      <c r="N13" s="896">
        <f t="shared" si="0"/>
        <v>200</v>
      </c>
      <c r="O13" s="897">
        <f t="shared" si="0"/>
        <v>0</v>
      </c>
      <c r="P13" s="897">
        <f t="shared" si="0"/>
        <v>0</v>
      </c>
      <c r="Q13" s="896">
        <f t="shared" si="0"/>
        <v>491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24</v>
      </c>
      <c r="AC13" s="896">
        <f t="shared" si="1"/>
        <v>732</v>
      </c>
      <c r="AD13" s="896">
        <f t="shared" si="1"/>
        <v>0</v>
      </c>
      <c r="AE13" s="896">
        <f t="shared" si="1"/>
        <v>0</v>
      </c>
      <c r="AF13" s="896">
        <f t="shared" si="1"/>
        <v>114</v>
      </c>
      <c r="AG13" s="896">
        <f t="shared" si="1"/>
        <v>0</v>
      </c>
      <c r="AH13" s="896">
        <f t="shared" si="1"/>
        <v>240</v>
      </c>
      <c r="AI13" s="896">
        <f t="shared" si="1"/>
        <v>0</v>
      </c>
      <c r="AJ13" s="896">
        <f t="shared" si="1"/>
        <v>0</v>
      </c>
      <c r="AK13" s="896">
        <f t="shared" si="1"/>
        <v>0</v>
      </c>
      <c r="AL13" s="896">
        <f t="shared" si="1"/>
        <v>0</v>
      </c>
      <c r="AM13" s="896">
        <f t="shared" si="1"/>
        <v>7856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587</v>
      </c>
      <c r="BD13" s="896">
        <f t="shared" si="1"/>
        <v>1000</v>
      </c>
      <c r="BE13" s="896">
        <f t="shared" si="1"/>
        <v>0</v>
      </c>
      <c r="BF13" s="896">
        <f t="shared" si="1"/>
        <v>0</v>
      </c>
      <c r="BG13" s="896">
        <f>IF(ISNUMBER(Datos!K13/Datos!J13),Datos!K13/Datos!J13," - ")</f>
        <v>0.81</v>
      </c>
      <c r="BH13" s="900">
        <f>IF(ISNUMBER(((Datos!L13/Datos!K13)*11)/factor_trimestre),((Datos!L13/Datos!K13)*11)/factor_trimestre," - ")</f>
        <v>6.6752136752136755</v>
      </c>
      <c r="BI13" s="896">
        <f>IF(ISNUMBER('Resol  Asuntos'!D13/NºAsuntos!G13),'Resol  Asuntos'!D13/NºAsuntos!G13," - ")</f>
        <v>0.25356371490280777</v>
      </c>
      <c r="BJ13" s="896" t="str">
        <f>IF(ISNUMBER(Datos!CI13/Datos!CJ13),Datos!CI13/Datos!CJ13," - ")</f>
        <v xml:space="preserve"> - </v>
      </c>
      <c r="BK13" s="896">
        <f>SUBTOTAL(9,BK8:BK12)</f>
        <v>0</v>
      </c>
      <c r="BL13" s="896">
        <f>IF(ISNUMBER((I13-AB13+L13)/(F13)),(I13-AB13+L13)/(F13)," - ")</f>
        <v>-0.23300970873786409</v>
      </c>
      <c r="BM13" s="901">
        <f>SUBTOTAL(9,BM9:BM12)</f>
        <v>-0.27147573908677325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2777</v>
      </c>
      <c r="G15" s="596">
        <f>IF(ISNUMBER(IF(D_I="SI",Datos!I15,Datos!I15+Datos!AC15)),IF(D_I="SI",Datos!I15,Datos!I15+Datos!AC15)," - ")</f>
        <v>2676</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139</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f>IF(ISNUMBER(IF(D_I="SI",Datos!K15,Datos!K15+Datos!AE15)),IF(D_I="SI",Datos!K15,Datos!K15+Datos!AE15)," - ")</f>
        <v>2258</v>
      </c>
      <c r="AC15" s="225">
        <f>IF(ISNUMBER(Datos!Q15),Datos!Q15," - ")</f>
        <v>110</v>
      </c>
      <c r="AD15" s="333"/>
      <c r="AE15" s="483"/>
      <c r="AF15" s="1192">
        <f>IF(ISNUMBER(IF(D_I="SI",Datos!L15,Datos!L15+Datos!AF15)),IF(D_I="SI",Datos!L15,Datos!L15+Datos!AF15)," - ")</f>
        <v>2760</v>
      </c>
      <c r="AG15" s="333"/>
      <c r="AH15" s="333"/>
      <c r="AI15" s="333"/>
      <c r="AJ15" s="333"/>
      <c r="AK15" s="333"/>
      <c r="AL15" s="478"/>
      <c r="AM15" s="334">
        <f>IF(ISNUMBER(Datos!R15),Datos!R15," - ")</f>
        <v>394</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f>IF(ISNUMBER(Datos!M15),Datos!M15," - ")</f>
        <v>412</v>
      </c>
      <c r="BD15" s="228">
        <f>IF(ISNUMBER(Datos!N15),Datos!N15," - ")</f>
        <v>1167</v>
      </c>
      <c r="BE15" s="228" t="str">
        <f>IF(ISNUMBER(Datos!BW15),Datos!BW15," - ")</f>
        <v xml:space="preserve"> - </v>
      </c>
      <c r="BF15" s="227" t="str">
        <f>IF(ISNUMBER(Datos!BX15),Datos!BX15," - ")</f>
        <v xml:space="preserve"> - </v>
      </c>
      <c r="BG15" s="242">
        <f>IF(ISNUMBER(IF(D_I="SI",Datos!K15/Datos!J15,(Datos!K15+Datos!AE15)/(Datos!J15+Datos!AD15))),IF(D_I="SI",Datos!K15/Datos!J15,(Datos!K15+Datos!AE15)/(Datos!J15+Datos!AD15))," - ")</f>
        <v>1.0075858991521642</v>
      </c>
      <c r="BH15" s="259">
        <f>IF(ISNUMBER(((IF(D_I="SI",Datos!L15/Datos!K15,(Datos!L15+Datos!AF15)/(Datos!K15+Datos!AE15)))*11)/factor_trimestre),((IF(D_I="SI",Datos!L15/Datos!K15,(Datos!L15+Datos!AF15)/(Datos!K15+Datos!AE15)))*11)/factor_trimestre," - ")</f>
        <v>3.66696191319752</v>
      </c>
      <c r="BI15" s="242">
        <f>IF(ISNUMBER('Resol  Asuntos'!D15/NºAsuntos!G15),'Resol  Asuntos'!D15/NºAsuntos!G15," - ")</f>
        <v>0.1824623560673162</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t="str">
        <f>IF(ISNUMBER(IF(D_I="SI",Datos!K17,Datos!K17+Datos!AE17)),IF(D_I="SI",Datos!K17,Datos!K17+Datos!AE17)," - ")</f>
        <v xml:space="preserve"> - </v>
      </c>
      <c r="AC17" s="225" t="str">
        <f>IF(ISNUMBER(Datos!Q17),Datos!Q17," - ")</f>
        <v xml:space="preserve"> - </v>
      </c>
      <c r="AD17" s="333"/>
      <c r="AE17" s="483"/>
      <c r="AF17" s="1192" t="str">
        <f>IF(ISNUMBER(IF(D_I="SI",Datos!L17,Datos!L17+Datos!AF17)),IF(D_I="SI",Datos!L17,Datos!L17+Datos!AF17)," - ")</f>
        <v xml:space="preserve"> - </v>
      </c>
      <c r="AG17" s="333"/>
      <c r="AH17" s="333"/>
      <c r="AI17" s="333"/>
      <c r="AJ17" s="333"/>
      <c r="AK17" s="333"/>
      <c r="AL17" s="478"/>
      <c r="AM17" s="33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t="str">
        <f>IF(ISNUMBER(Datos!M17),Datos!M17," - ")</f>
        <v xml:space="preserve"> - </v>
      </c>
      <c r="BD17" s="228" t="str">
        <f>IF(ISNUMBER(Datos!N17),Datos!N17," - ")</f>
        <v xml:space="preserve"> - </v>
      </c>
      <c r="BE17" s="228" t="str">
        <f>IF(ISNUMBER(Datos!BW17),Datos!BW17," - ")</f>
        <v xml:space="preserve"> - </v>
      </c>
      <c r="BF17" s="227" t="str">
        <f>IF(ISNUMBER(Datos!BX17),Datos!BX17," - ")</f>
        <v xml:space="preserve"> - </v>
      </c>
      <c r="BG17" s="242" t="str">
        <f>IF(ISNUMBER(IF(D_I="SI",Datos!K17/Datos!J17,(Datos!K17+Datos!AE17)/(Datos!J17+Datos!AD17))),IF(D_I="SI",Datos!K17/Datos!J17,(Datos!K17+Datos!AE17)/(Datos!J17+Datos!AD17))," - ")</f>
        <v xml:space="preserve"> - </v>
      </c>
      <c r="BH17" s="259"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103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360</v>
      </c>
      <c r="AC18" s="225">
        <f>IF(ISNUMBER(Datos!Q18),Datos!Q18," - ")</f>
        <v>11</v>
      </c>
      <c r="AD18" s="333"/>
      <c r="AE18" s="483"/>
      <c r="AF18" s="331">
        <f>IF(ISNUMBER(Datos!L18),Datos!L18,"-")</f>
        <v>152</v>
      </c>
      <c r="AG18" s="333"/>
      <c r="AH18" s="333"/>
      <c r="AI18" s="333"/>
      <c r="AJ18" s="333"/>
      <c r="AK18" s="333"/>
      <c r="AL18" s="478"/>
      <c r="AM18" s="334">
        <f>IF(ISNUMBER(Datos!R18),Datos!R18," - ")</f>
        <v>16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90</v>
      </c>
      <c r="BD18" s="228">
        <f>IF(ISNUMBER(Datos!N18),Datos!N18," - ")</f>
        <v>202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0.91836734693877553</v>
      </c>
      <c r="BH18" s="259">
        <f>IF(ISNUMBER(((IF(D_I="SI",Datos!L18/Datos!K18,(Datos!L18+Datos!AF18)/(Datos!K18+Datos!AE18)))*11)/factor_trimestre),((IF(D_I="SI",Datos!L18/Datos!K18,(Datos!L18+Datos!AF18)/(Datos!K18+Datos!AE18)))*11)/factor_trimestre," - ")</f>
        <v>1.2666666666666668</v>
      </c>
      <c r="BI18" s="242">
        <f>IF(ISNUMBER('Resol  Asuntos'!D18/NºAsuntos!G18),'Resol  Asuntos'!D18/NºAsuntos!G18," - ")</f>
        <v>0.25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2777</v>
      </c>
      <c r="G19" s="895">
        <f>SUBTOTAL(9,G15:G18)</f>
        <v>2779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151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2618</v>
      </c>
      <c r="AC19" s="896">
        <f t="shared" si="4"/>
        <v>121</v>
      </c>
      <c r="AD19" s="896">
        <f t="shared" si="4"/>
        <v>0</v>
      </c>
      <c r="AE19" s="896">
        <f t="shared" si="4"/>
        <v>0</v>
      </c>
      <c r="AF19" s="896">
        <f t="shared" si="4"/>
        <v>2912</v>
      </c>
      <c r="AG19" s="896">
        <f t="shared" si="4"/>
        <v>0</v>
      </c>
      <c r="AH19" s="896">
        <f t="shared" si="4"/>
        <v>0</v>
      </c>
      <c r="AI19" s="896">
        <f t="shared" si="4"/>
        <v>0</v>
      </c>
      <c r="AJ19" s="896">
        <f t="shared" si="4"/>
        <v>0</v>
      </c>
      <c r="AK19" s="896">
        <f t="shared" si="4"/>
        <v>0</v>
      </c>
      <c r="AL19" s="896">
        <f t="shared" si="4"/>
        <v>0</v>
      </c>
      <c r="AM19" s="896">
        <f t="shared" si="4"/>
        <v>410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502</v>
      </c>
      <c r="BD19" s="896">
        <f t="shared" si="4"/>
        <v>1369</v>
      </c>
      <c r="BE19" s="896">
        <f t="shared" si="4"/>
        <v>0</v>
      </c>
      <c r="BF19" s="896">
        <f t="shared" si="4"/>
        <v>0</v>
      </c>
      <c r="BG19" s="896">
        <f>IF(ISNUMBER(Datos!K19/Datos!J19),Datos!K19/Datos!J19," - ")</f>
        <v>0.99430307633877701</v>
      </c>
      <c r="BH19" s="900">
        <f>IF(ISNUMBER(((Datos!L19/Datos!K19)*11)/factor_trimestre),((Datos!L19/Datos!K19)*11)/factor_trimestre," - ")</f>
        <v>3.3368983957219251</v>
      </c>
      <c r="BI19" s="896">
        <f>SUBTOTAL(9,BI15:BI18)</f>
        <v>0.4324623560673162</v>
      </c>
      <c r="BJ19" s="896">
        <f>SUBTOTAL(9,BJ15:BJ18)</f>
        <v>0</v>
      </c>
      <c r="BK19" s="896">
        <f>SUBTOTAL(9,BK15:BK18)</f>
        <v>0</v>
      </c>
      <c r="BL19" s="896">
        <f>IF(ISNUMBER((I19-AB19+L19)/(F19)),(I19-AB19+L19)/(F19)," - ")</f>
        <v>-0.94274396831112717</v>
      </c>
      <c r="BM19" s="902">
        <f>IF(ISNUMBER((Datos!P19-Datos!Q19)/(Datos!R19-Datos!P19+Datos!Q19)),(Datos!P19-Datos!Q19)/(Datos!R19-Datos!P19+Datos!Q19)," - ")</f>
        <v>7.8947368421052627E-2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11</v>
      </c>
      <c r="F20" s="817">
        <f t="shared" si="6"/>
        <v>2880</v>
      </c>
      <c r="G20" s="817">
        <f t="shared" si="6"/>
        <v>2876</v>
      </c>
      <c r="H20" s="819">
        <f t="shared" si="6"/>
        <v>0</v>
      </c>
      <c r="I20" s="817">
        <f t="shared" si="6"/>
        <v>0</v>
      </c>
      <c r="J20" s="819">
        <f t="shared" si="6"/>
        <v>0</v>
      </c>
      <c r="K20" s="819">
        <f t="shared" si="6"/>
        <v>0</v>
      </c>
      <c r="L20" s="878">
        <f t="shared" si="6"/>
        <v>0</v>
      </c>
      <c r="M20" s="878">
        <f t="shared" si="6"/>
        <v>0</v>
      </c>
      <c r="N20" s="878">
        <f t="shared" si="6"/>
        <v>200</v>
      </c>
      <c r="O20" s="878">
        <f t="shared" si="6"/>
        <v>0</v>
      </c>
      <c r="P20" s="878">
        <f t="shared" si="6"/>
        <v>0</v>
      </c>
      <c r="Q20" s="819">
        <f t="shared" si="6"/>
        <v>642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2642</v>
      </c>
      <c r="AC20" s="818">
        <f t="shared" si="7"/>
        <v>853</v>
      </c>
      <c r="AD20" s="818">
        <f t="shared" si="7"/>
        <v>0</v>
      </c>
      <c r="AE20" s="818">
        <f t="shared" si="7"/>
        <v>0</v>
      </c>
      <c r="AF20" s="825">
        <f t="shared" si="7"/>
        <v>3026</v>
      </c>
      <c r="AG20" s="825">
        <f t="shared" si="7"/>
        <v>0</v>
      </c>
      <c r="AH20" s="825">
        <f t="shared" si="7"/>
        <v>240</v>
      </c>
      <c r="AI20" s="825">
        <f t="shared" si="7"/>
        <v>0</v>
      </c>
      <c r="AJ20" s="818">
        <f t="shared" si="7"/>
        <v>0</v>
      </c>
      <c r="AK20" s="825">
        <f t="shared" si="7"/>
        <v>0</v>
      </c>
      <c r="AL20" s="825">
        <f t="shared" si="7"/>
        <v>0</v>
      </c>
      <c r="AM20" s="825">
        <f t="shared" si="7"/>
        <v>8266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1089</v>
      </c>
      <c r="BD20" s="817">
        <f t="shared" si="7"/>
        <v>2369</v>
      </c>
      <c r="BE20" s="817">
        <f t="shared" si="7"/>
        <v>0</v>
      </c>
      <c r="BF20" s="827">
        <f t="shared" si="7"/>
        <v>0</v>
      </c>
      <c r="BG20" s="912">
        <f>IF(ISNUMBER(Datos!K20/Datos!J20),Datos!K20/Datos!J20," - ")</f>
        <v>0.90273265813109116</v>
      </c>
      <c r="BH20" s="912">
        <f>IF(ISNUMBER(((Datos!L20/Datos!K20)*11)/factor_trimestre),((Datos!L20/Datos!K20)*11)/factor_trimestre," - ")</f>
        <v>4.8251481795088909</v>
      </c>
      <c r="BI20" s="810">
        <f>IF(ISNUMBER(Datos!J20/Datos!I20),Datos!J20/Datos!I20," - ")</f>
        <v>0.75197585860037364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-0.91736111111111107</v>
      </c>
      <c r="BM20" s="886">
        <f>IF(ISNUMBER((Datos!P20-Datos!Q20+R20)/(Datos!R20-Datos!P20+Datos!Q20-R20)),(Datos!P20-Datos!Q20+R20)/(Datos!R20-Datos!P20+Datos!Q20-R20)," - ")</f>
        <v>-2.489088120797452E-2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1150.4000000000001</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2.6583202716502514</v>
      </c>
      <c r="F22" s="550">
        <f>IF(ISNUMBER(STDEV(F8:F19)),STDEV(F8:F19),"-")</f>
        <v>1543.8346198130594</v>
      </c>
      <c r="G22" s="551">
        <f>IF(ISNUMBER(STDEV(G8:G19)),STDEV(G8:G19),"-")</f>
        <v>1440.1513114947331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1274.6674860527353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250.82743071681773</v>
      </c>
      <c r="BD22" s="550"/>
      <c r="BE22" s="550">
        <f>IF(ISNUMBER(STDEV(BE8:BE19)),STDEV(BE8:BE19),"-")</f>
        <v>0</v>
      </c>
      <c r="BF22" s="555">
        <f>IF(ISNUMBER(STDEV(BF8:BF19)),STDEV(BF8:BF19),"-")</f>
        <v>0</v>
      </c>
      <c r="BG22" s="772">
        <f>IF(ISNUMBER(STDEV(BG8:BG19)),STDEV(BG8:BG19),"-")</f>
        <v>0.12320527621987029</v>
      </c>
      <c r="BH22" s="773">
        <f>IF(ISNUMBER(STDEV(BH8:BH19)),STDEV(BH8:BH19),"-")</f>
        <v>4.5498694839566651</v>
      </c>
      <c r="BI22" s="248">
        <f>IF(ISNUMBER(STDEV(BI8:BI19)),STDEV(BI8:BI19),"-")</f>
        <v>0.10701505806516336</v>
      </c>
      <c r="BJ22" s="229" t="str">
        <f>IF(ISNUMBER(BL22/BM22),BL22/BM22," - ")</f>
        <v xml:space="preserve"> - </v>
      </c>
      <c r="BK22" s="574"/>
      <c r="BL22" s="558">
        <f>IF(ISNUMBER(STDEV(BL8:BL19)),STDEV(BL8:BL19),"-")</f>
        <v>0.50185790778466743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hHZpUMRwkjao4o0eSY3j2j8Zl60R131dHxSVJBUNAREKnySscIGaCwW300BGFF6krPw1w19tqAWvw3jvhemG3g==" saltValue="Fo9qx60/8tD72CLVnWiGp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GANDIA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6</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476</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f>IF(ISNUMBER(Datos!Q9),Datos!Q9," - ")</f>
        <v>697</v>
      </c>
      <c r="AA9" s="331" t="str">
        <f>IF(ISNUMBER(IF(J_V="SI",Datos!L9,Datos!L9+Datos!AB9)-IF(Monitorios="SI",Datos!CD9,0)),
                          IF(J_V="SI",Datos!L9,Datos!L9+Datos!AB9)-IF(Monitorios="SI",Datos!CD9,0),
                          " - ")</f>
        <v xml:space="preserve"> - </v>
      </c>
      <c r="AB9" s="333"/>
      <c r="AC9" s="333"/>
      <c r="AD9" s="483"/>
      <c r="AE9" s="483">
        <f>IF(ISNUMBER(Datos!R9),Datos!R9," - ")</f>
        <v>7794</v>
      </c>
      <c r="AF9" s="228" t="str">
        <f>IF(ISNUMBER(Datos!BV9),Datos!BV9," - ")</f>
        <v xml:space="preserve"> - </v>
      </c>
      <c r="AG9" s="224" t="str">
        <f>IF(ISNUMBER(Datos!DV9),Datos!DV9," - ")</f>
        <v xml:space="preserve"> - </v>
      </c>
      <c r="AH9" s="297"/>
      <c r="AI9" s="226"/>
      <c r="AJ9" s="224">
        <f>IF(ISNUMBER(Datos!M9),Datos!M9," - ")</f>
        <v>575</v>
      </c>
      <c r="AK9" s="228">
        <f>IF(ISNUMBER(Datos!N9),Datos!N9," - ")</f>
        <v>991</v>
      </c>
      <c r="AL9" s="228" t="str">
        <f>IF(ISNUMBER(Datos!BW9),Datos!BW9," - ")</f>
        <v xml:space="preserve"> - </v>
      </c>
      <c r="AM9" s="227" t="str">
        <f>IF(ISNUMBER(Datos!BX9),Datos!BX9," - ")</f>
        <v xml:space="preserve"> - </v>
      </c>
      <c r="AN9" s="242"/>
      <c r="AO9" s="259">
        <f>IF(ISNUMBER(((NºAsuntos!I9/NºAsuntos!G9)*11)/factor_trimestre),((NºAsuntos!I9/NºAsuntos!G9)*11)/factor_trimestre," - ")</f>
        <v>6.3011785246617196</v>
      </c>
      <c r="AP9" s="229" t="str">
        <f>IF(ISNUMBER(Datos!CI9/Datos!CJ9),Datos!CI9/Datos!CJ9," - ")</f>
        <v xml:space="preserve"> - </v>
      </c>
      <c r="AQ9" s="229" t="str">
        <f>IF(ISNUMBER((J9-Y9+K9)/(F9)),(J9-Y9+K9)/(F9)," - ")</f>
        <v xml:space="preserve"> - </v>
      </c>
      <c r="AR9" s="229">
        <f>IF(ISNUMBER((Datos!P9-Datos!Q9+Datos!DE9)/(Datos!R9-Datos!P9+Datos!Q9-Datos!DE9)),(Datos!P9-Datos!Q9+Datos!DE9)/(Datos!R9-Datos!P9+Datos!Q9-Datos!DE9)," - ")</f>
        <v>-2.7573300062383031E-2</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103</v>
      </c>
      <c r="G10" s="224">
        <f>IF(ISNUMBER(Datos!I10),Datos!I10," - ")</f>
        <v>97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15</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24</v>
      </c>
      <c r="Z10" s="617">
        <f>IF(ISNUMBER(Datos!Q10),Datos!Q10," - ")</f>
        <v>35</v>
      </c>
      <c r="AA10" s="331">
        <f>IF(ISNUMBER(Datos!L10),Datos!L10,"-")</f>
        <v>114</v>
      </c>
      <c r="AB10" s="333"/>
      <c r="AC10" s="333"/>
      <c r="AD10" s="483"/>
      <c r="AE10" s="483">
        <f>IF(ISNUMBER(Datos!R10),Datos!R10," - ")</f>
        <v>62</v>
      </c>
      <c r="AF10" s="228" t="str">
        <f>IF(ISNUMBER(Datos!BV10),Datos!BV10," - ")</f>
        <v xml:space="preserve"> - </v>
      </c>
      <c r="AG10" s="224" t="str">
        <f>IF(ISNUMBER(Datos!DV10),Datos!DV10," - ")</f>
        <v xml:space="preserve"> - </v>
      </c>
      <c r="AH10" s="297"/>
      <c r="AI10" s="226"/>
      <c r="AJ10" s="224">
        <f>IF(ISNUMBER(Datos!M10),Datos!M10," - ")</f>
        <v>12</v>
      </c>
      <c r="AK10" s="228">
        <f>IF(ISNUMBER(Datos!N10),Datos!N10," - ")</f>
        <v>9</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14.25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-0.24390243902439024</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0</v>
      </c>
      <c r="B12" s="506" t="s">
        <v>247</v>
      </c>
      <c r="C12" s="7" t="str">
        <f>Datos!A12</f>
        <v xml:space="preserve">Sección Civil y de Instrucción del T.I.       </v>
      </c>
      <c r="D12" s="507"/>
      <c r="E12" s="1163">
        <f>IF(ISNUMBER(Datos!AQ12),Datos!AQ12," - ")</f>
        <v>0</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t="str">
        <f>IF(ISNUMBER(Datos!Q12),Datos!Q12," - ")</f>
        <v xml:space="preserve"> - </v>
      </c>
      <c r="AA12" s="331" t="str">
        <f>IF(ISNUMBER(IF(J_V="SI",Datos!L12,Datos!L12+Datos!AB12)-IF(Monitorios="SI",Datos!CD12,0)),
                          IF(J_V="SI",Datos!L12,Datos!L12+Datos!AB12)-IF(Monitorios="SI",Datos!CD12,0),
                          " - ")</f>
        <v xml:space="preserve"> - </v>
      </c>
      <c r="AB12" s="333"/>
      <c r="AC12" s="333"/>
      <c r="AD12" s="483"/>
      <c r="AE12" s="483" t="str">
        <f>IF(ISNUMBER(Datos!R12),Datos!R12," - ")</f>
        <v xml:space="preserve"> - </v>
      </c>
      <c r="AF12" s="228" t="str">
        <f>IF(ISNUMBER(Datos!BV12),Datos!BV12," - ")</f>
        <v xml:space="preserve"> - </v>
      </c>
      <c r="AG12" s="224" t="str">
        <f>IF(ISNUMBER(Datos!DV12),Datos!DV12," - ")</f>
        <v xml:space="preserve"> - </v>
      </c>
      <c r="AH12" s="297"/>
      <c r="AI12" s="226"/>
      <c r="AJ12" s="224" t="str">
        <f>IF(ISNUMBER(Datos!M12),Datos!M12," - ")</f>
        <v xml:space="preserve"> - </v>
      </c>
      <c r="AK12" s="228" t="str">
        <f>IF(ISNUMBER(Datos!N12),Datos!N12," - ")</f>
        <v xml:space="preserve"> - </v>
      </c>
      <c r="AL12" s="228" t="str">
        <f>IF(ISNUMBER(Datos!BW12),Datos!BW12," - ")</f>
        <v xml:space="preserve"> - </v>
      </c>
      <c r="AM12" s="227" t="str">
        <f>IF(ISNUMBER(Datos!BX12),Datos!BX12," - ")</f>
        <v xml:space="preserve"> - </v>
      </c>
      <c r="AN12" s="242"/>
      <c r="AO12" s="259" t="str">
        <f>IF(ISNUMBER(((NºAsuntos!I12/NºAsuntos!G12)*11)/factor_trimestre),((NºAsuntos!I12/NºAsuntos!G12)*11)/factor_trimestre," - ")</f>
        <v xml:space="preserve"> - </v>
      </c>
      <c r="AP12" s="229" t="str">
        <f>IF(ISNUMBER(Datos!CI12/Datos!CJ12),Datos!CI12/Datos!CJ12," - ")</f>
        <v xml:space="preserve"> - </v>
      </c>
      <c r="AQ12" s="229" t="str">
        <f>IF(ISNUMBER((I12-Y12+K12)/(F12)),(I12-Y12+K12)/(F12)," - ")</f>
        <v xml:space="preserve"> - </v>
      </c>
      <c r="AR12" s="229" t="str">
        <f>IF(ISNUMBER((Datos!P12-Datos!Q12+Datos!DE12)/(Datos!R12-Datos!P12+Datos!Q12-Datos!DE12)),(Datos!P12-Datos!Q12+Datos!DE12)/(Datos!R12-Datos!P12+Datos!Q12-Datos!DE12)," - ")</f>
        <v xml:space="preserve"> - </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7</v>
      </c>
      <c r="F13" s="895">
        <f>SUBTOTAL(9,F8:F12)</f>
        <v>103</v>
      </c>
      <c r="G13" s="895">
        <f>SUBTOTAL(9,G8:G12)</f>
        <v>97</v>
      </c>
      <c r="H13" s="905"/>
      <c r="I13" s="895">
        <f t="shared" ref="I13:N13" si="0">SUBTOTAL(9,I8:I12)</f>
        <v>0</v>
      </c>
      <c r="J13" s="864">
        <f t="shared" si="0"/>
        <v>0</v>
      </c>
      <c r="K13" s="905">
        <f t="shared" si="0"/>
        <v>0</v>
      </c>
      <c r="L13" s="905">
        <f t="shared" si="0"/>
        <v>0</v>
      </c>
      <c r="M13" s="905">
        <f t="shared" si="0"/>
        <v>0</v>
      </c>
      <c r="N13" s="905">
        <f t="shared" si="0"/>
        <v>491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24</v>
      </c>
      <c r="Z13" s="904">
        <f t="shared" si="2"/>
        <v>732</v>
      </c>
      <c r="AA13" s="897">
        <f t="shared" si="2"/>
        <v>114</v>
      </c>
      <c r="AB13" s="897">
        <f t="shared" si="2"/>
        <v>0</v>
      </c>
      <c r="AC13" s="897">
        <f t="shared" si="2"/>
        <v>0</v>
      </c>
      <c r="AD13" s="897">
        <f t="shared" si="2"/>
        <v>0</v>
      </c>
      <c r="AE13" s="897">
        <f t="shared" si="2"/>
        <v>7856</v>
      </c>
      <c r="AF13" s="905">
        <f t="shared" si="2"/>
        <v>0</v>
      </c>
      <c r="AG13" s="905">
        <f t="shared" si="2"/>
        <v>0</v>
      </c>
      <c r="AH13" s="905">
        <f t="shared" si="2"/>
        <v>0</v>
      </c>
      <c r="AI13" s="905">
        <f t="shared" si="2"/>
        <v>0</v>
      </c>
      <c r="AJ13" s="905">
        <f t="shared" si="2"/>
        <v>587</v>
      </c>
      <c r="AK13" s="905">
        <f t="shared" si="2"/>
        <v>1000</v>
      </c>
      <c r="AL13" s="905">
        <f t="shared" si="2"/>
        <v>0</v>
      </c>
      <c r="AM13" s="905">
        <f t="shared" si="2"/>
        <v>0</v>
      </c>
      <c r="AN13" s="905">
        <f t="shared" si="2"/>
        <v>0</v>
      </c>
      <c r="AO13" s="901">
        <f>IF(ISNUMBER(((NºAsuntos!I13/NºAsuntos!G13)*11)/factor_trimestre),((NºAsuntos!I13/NºAsuntos!G13)*11)/factor_trimestre," - ")</f>
        <v>6.3835853131749465</v>
      </c>
      <c r="AP13" s="907" t="str">
        <f>IF(ISNUMBER(Datos!CI13/Datos!CJ13),Datos!CI13/Datos!CJ13," - ")</f>
        <v xml:space="preserve"> - </v>
      </c>
      <c r="AQ13" s="923">
        <f t="shared" ref="AQ13:AV13" si="3">SUBTOTAL(9,AQ9:AQ12)</f>
        <v>0</v>
      </c>
      <c r="AR13" s="923">
        <f t="shared" si="3"/>
        <v>-0.27147573908677325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3</v>
      </c>
      <c r="B15" s="506" t="s">
        <v>397</v>
      </c>
      <c r="C15" s="159" t="str">
        <f>Datos!A15</f>
        <v xml:space="preserve">Seccion Instruccion Del T.I.                   </v>
      </c>
      <c r="D15" s="501"/>
      <c r="E15" s="1163">
        <f>IF(ISNUMBER(Datos!AQ15),Datos!AQ15," - ")</f>
        <v>3</v>
      </c>
      <c r="F15" s="332">
        <f>IF(ISNUMBER(AA15+Y15-Datos!J15-K15),AA15+Y15-Datos!J15-K15," - ")</f>
        <v>2777</v>
      </c>
      <c r="G15" s="224">
        <f>IF(ISNUMBER(IF(D_I="SI",Datos!I15,Datos!I15+Datos!AC15)),IF(D_I="SI",Datos!I15,Datos!I15+Datos!AC15)," - ")</f>
        <v>2676</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139</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f>IF(ISNUMBER(IF(D_I="SI",Datos!K15,Datos!K15+Datos!AE15)),IF(D_I="SI",Datos!K15,Datos!K15+Datos!AE15)," - ")</f>
        <v>2258</v>
      </c>
      <c r="Z15" s="617">
        <f>IF(ISNUMBER(Datos!Q15),Datos!Q15," - ")</f>
        <v>110</v>
      </c>
      <c r="AA15" s="331">
        <f>IF(ISNUMBER(IF(D_I="SI",Datos!L15,Datos!L15+Datos!AF15)),IF(D_I="SI",Datos!L15,Datos!L15+Datos!AF15)," - ")</f>
        <v>2760</v>
      </c>
      <c r="AB15" s="333"/>
      <c r="AC15" s="333"/>
      <c r="AD15" s="483"/>
      <c r="AE15" s="483">
        <f>IF(ISNUMBER(Datos!R15),Datos!R15," - ")</f>
        <v>394</v>
      </c>
      <c r="AF15" s="228" t="str">
        <f>IF(ISNUMBER(Datos!BV15),Datos!BV15," - ")</f>
        <v xml:space="preserve"> - </v>
      </c>
      <c r="AG15" s="224"/>
      <c r="AH15" s="297"/>
      <c r="AI15" s="226"/>
      <c r="AJ15" s="224">
        <f>IF(ISNUMBER(Datos!M15),Datos!M15," - ")</f>
        <v>412</v>
      </c>
      <c r="AK15" s="228">
        <f>IF(ISNUMBER(Datos!N15),Datos!N15," - ")</f>
        <v>1167</v>
      </c>
      <c r="AL15" s="228" t="str">
        <f>IF(ISNUMBER(Datos!BW15),Datos!BW15," - ")</f>
        <v xml:space="preserve"> - </v>
      </c>
      <c r="AM15" s="227" t="str">
        <f>IF(ISNUMBER(Datos!BX15),Datos!BX15," - ")</f>
        <v xml:space="preserve"> - </v>
      </c>
      <c r="AN15" s="242"/>
      <c r="AO15" s="259">
        <f>IF(ISNUMBER(((NºAsuntos!I15/NºAsuntos!G15)*11)/factor_trimestre),((NºAsuntos!I15/NºAsuntos!G15)*11)/factor_trimestre," - ")</f>
        <v>3.66696191319752</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0</v>
      </c>
      <c r="B17" s="506" t="s">
        <v>397</v>
      </c>
      <c r="C17" s="159" t="str">
        <f>Datos!A17</f>
        <v xml:space="preserve">Sección Civil y de Inst. TI                      </v>
      </c>
      <c r="D17" s="501"/>
      <c r="E17" s="1163">
        <f>IF(ISNUMBER(Datos!AQ17),Datos!AQ17," - ")</f>
        <v>0</v>
      </c>
      <c r="F17" s="332" t="str">
        <f>IF(ISNUMBER(AA17+Y17-Datos!J17-K15),AA17+Y17-Datos!J17-K15," - ")</f>
        <v xml:space="preserve"> - </v>
      </c>
      <c r="G17" s="224" t="str">
        <f>IF(ISNUMBER(IF(D_I="SI",Datos!I17,Datos!I17+Datos!AC17)),IF(D_I="SI",Datos!I17,Datos!I17+Datos!AC17)," - ")</f>
        <v xml:space="preserve"> - </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t="str">
        <f>IF(ISNUMBER(IF(D_I="SI",Datos!K17,Datos!K17+Datos!AE17)),IF(D_I="SI",Datos!K17,Datos!K17+Datos!AE17)," - ")</f>
        <v xml:space="preserve"> - </v>
      </c>
      <c r="Z17" s="617" t="str">
        <f>IF(ISNUMBER(Datos!Q17),Datos!Q17," - ")</f>
        <v xml:space="preserve"> - </v>
      </c>
      <c r="AA17" s="331" t="str">
        <f>IF(ISNUMBER(IF(D_I="SI",Datos!L17,Datos!L17+Datos!AF17)),IF(D_I="SI",Datos!L17,Datos!L17+Datos!AF17)," - ")</f>
        <v xml:space="preserve"> - </v>
      </c>
      <c r="AB17" s="333"/>
      <c r="AC17" s="333"/>
      <c r="AD17" s="483"/>
      <c r="AE17" s="483" t="str">
        <f>IF(ISNUMBER(Datos!R17),Datos!R17," - ")</f>
        <v xml:space="preserve"> - </v>
      </c>
      <c r="AF17" s="228" t="str">
        <f>IF(ISNUMBER(Datos!BV17),Datos!BV17," - ")</f>
        <v xml:space="preserve"> - </v>
      </c>
      <c r="AG17" s="224"/>
      <c r="AH17" s="297"/>
      <c r="AI17" s="226"/>
      <c r="AJ17" s="224" t="str">
        <f>IF(ISNUMBER(Datos!M17),Datos!M17," - ")</f>
        <v xml:space="preserve"> - </v>
      </c>
      <c r="AK17" s="228" t="str">
        <f>IF(ISNUMBER(Datos!N17),Datos!N17," - ")</f>
        <v xml:space="preserve"> - </v>
      </c>
      <c r="AL17" s="228" t="str">
        <f>IF(ISNUMBER(Datos!BW17),Datos!BW17," - ")</f>
        <v xml:space="preserve"> - </v>
      </c>
      <c r="AM17" s="227" t="str">
        <f>IF(ISNUMBER(Datos!BX17),Datos!BX17," - ")</f>
        <v xml:space="preserve"> - </v>
      </c>
      <c r="AN17" s="242"/>
      <c r="AO17" s="259" t="str">
        <f>IF(ISNUMBER(((NºAsuntos!I17/NºAsuntos!G17)*11)/factor_trimestre),((NºAsuntos!I17/NºAsuntos!G17)*11)/factor_trimestre," - ")</f>
        <v xml:space="preserve"> - </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103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12</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360</v>
      </c>
      <c r="Z18" s="617">
        <f>IF(ISNUMBER(Datos!Q18),Datos!Q18," - ")</f>
        <v>11</v>
      </c>
      <c r="AA18" s="331">
        <f>IF(ISNUMBER(Datos!L18),Datos!L18,"-")</f>
        <v>152</v>
      </c>
      <c r="AB18" s="333"/>
      <c r="AC18" s="333"/>
      <c r="AD18" s="483"/>
      <c r="AE18" s="483">
        <f>IF(ISNUMBER(Datos!R18),Datos!R18," - ")</f>
        <v>16</v>
      </c>
      <c r="AF18" s="228" t="str">
        <f>IF(ISNUMBER(Datos!BV18),Datos!BV18," - ")</f>
        <v xml:space="preserve"> - </v>
      </c>
      <c r="AG18" s="224" t="str">
        <f>IF(ISNUMBER(Datos!DV18),Datos!DV18," - ")</f>
        <v xml:space="preserve"> - </v>
      </c>
      <c r="AH18" s="297"/>
      <c r="AI18" s="226"/>
      <c r="AJ18" s="224">
        <f>IF(ISNUMBER(Datos!M18),Datos!M18," - ")</f>
        <v>90</v>
      </c>
      <c r="AK18" s="228">
        <f>IF(ISNUMBER(Datos!N18),Datos!N18," - ")</f>
        <v>202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1.2666666666666668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2777</v>
      </c>
      <c r="G19" s="895">
        <f>SUBTOTAL(9,G15:G18)</f>
        <v>2779</v>
      </c>
      <c r="H19" s="927">
        <f>SUBTOTAL(9,H15:H18)</f>
        <v>0</v>
      </c>
      <c r="I19" s="908">
        <f>SUBTOTAL(9,I15:I18)</f>
        <v>0</v>
      </c>
      <c r="J19" s="864">
        <f>SUBTOTAL(9,J14:J18)</f>
        <v>0</v>
      </c>
      <c r="K19" s="927">
        <f t="shared" ref="K19:S19" si="4">SUBTOTAL(9,K15:K18)</f>
        <v>0</v>
      </c>
      <c r="L19" s="927">
        <f t="shared" si="4"/>
        <v>0</v>
      </c>
      <c r="M19" s="927">
        <f t="shared" si="4"/>
        <v>0</v>
      </c>
      <c r="N19" s="927">
        <f t="shared" si="4"/>
        <v>151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2618</v>
      </c>
      <c r="Z19" s="927">
        <f t="shared" si="5"/>
        <v>121</v>
      </c>
      <c r="AA19" s="927">
        <f t="shared" si="5"/>
        <v>2912</v>
      </c>
      <c r="AB19" s="927">
        <f t="shared" si="5"/>
        <v>0</v>
      </c>
      <c r="AC19" s="927">
        <f t="shared" si="5"/>
        <v>0</v>
      </c>
      <c r="AD19" s="927">
        <f t="shared" si="5"/>
        <v>0</v>
      </c>
      <c r="AE19" s="927">
        <f t="shared" si="5"/>
        <v>410</v>
      </c>
      <c r="AF19" s="927">
        <f t="shared" si="5"/>
        <v>0</v>
      </c>
      <c r="AG19" s="927">
        <f t="shared" si="5"/>
        <v>0</v>
      </c>
      <c r="AH19" s="927">
        <f t="shared" si="5"/>
        <v>0</v>
      </c>
      <c r="AI19" s="927">
        <f t="shared" si="5"/>
        <v>0</v>
      </c>
      <c r="AJ19" s="927">
        <f t="shared" si="5"/>
        <v>502</v>
      </c>
      <c r="AK19" s="927">
        <f t="shared" si="5"/>
        <v>1369</v>
      </c>
      <c r="AL19" s="927">
        <f t="shared" si="5"/>
        <v>0</v>
      </c>
      <c r="AM19" s="927">
        <f t="shared" si="5"/>
        <v>0</v>
      </c>
      <c r="AN19" s="927">
        <f t="shared" si="5"/>
        <v>0</v>
      </c>
      <c r="AO19" s="929">
        <f>IF(ISNUMBER(((NºAsuntos!I19/NºAsuntos!G19)*11)/factor_trimestre),((NºAsuntos!I19/NºAsuntos!G19)*11)/factor_trimestre," - ")</f>
        <v>3.3368983957219251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11</v>
      </c>
      <c r="F20" s="817">
        <f t="shared" si="7"/>
        <v>2880</v>
      </c>
      <c r="G20" s="817">
        <f t="shared" si="7"/>
        <v>2876</v>
      </c>
      <c r="H20" s="818">
        <f t="shared" si="7"/>
        <v>0</v>
      </c>
      <c r="I20" s="817">
        <f t="shared" si="7"/>
        <v>0</v>
      </c>
      <c r="J20" s="819">
        <f t="shared" si="7"/>
        <v>0</v>
      </c>
      <c r="K20" s="817">
        <f t="shared" si="7"/>
        <v>0</v>
      </c>
      <c r="L20" s="820">
        <f t="shared" si="7"/>
        <v>0</v>
      </c>
      <c r="M20" s="817">
        <f t="shared" si="7"/>
        <v>0</v>
      </c>
      <c r="N20" s="818">
        <f t="shared" si="7"/>
        <v>642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2642</v>
      </c>
      <c r="Z20" s="824">
        <f t="shared" si="8"/>
        <v>853</v>
      </c>
      <c r="AA20" s="825">
        <f t="shared" si="8"/>
        <v>3026</v>
      </c>
      <c r="AB20" s="825">
        <f t="shared" si="8"/>
        <v>0</v>
      </c>
      <c r="AC20" s="825">
        <f t="shared" si="8"/>
        <v>0</v>
      </c>
      <c r="AD20" s="826">
        <f t="shared" si="8"/>
        <v>0</v>
      </c>
      <c r="AE20" s="826">
        <f t="shared" si="8"/>
        <v>8266</v>
      </c>
      <c r="AF20" s="827">
        <f t="shared" si="8"/>
        <v>0</v>
      </c>
      <c r="AG20" s="828">
        <f t="shared" si="8"/>
        <v>0</v>
      </c>
      <c r="AH20" s="829">
        <f t="shared" si="8"/>
        <v>0</v>
      </c>
      <c r="AI20" s="827">
        <f t="shared" si="8"/>
        <v>0</v>
      </c>
      <c r="AJ20" s="817">
        <f t="shared" si="8"/>
        <v>1089</v>
      </c>
      <c r="AK20" s="817">
        <f t="shared" si="8"/>
        <v>2369</v>
      </c>
      <c r="AL20" s="817">
        <f t="shared" si="8"/>
        <v>0</v>
      </c>
      <c r="AM20" s="830">
        <f t="shared" si="8"/>
        <v>0</v>
      </c>
      <c r="AN20" s="820">
        <f>IF(ISNUMBER(Datos!K20/Datos!J20),Datos!K20/Datos!J20," - ")</f>
        <v>0.90273265813109116</v>
      </c>
      <c r="AO20" s="820">
        <f>IF(ISNUMBER(FIND("06",Criterios!A8,1)),(IF(ISNUMBER(((Datos!R20/Datos!Q20)*11)/factor_trimestre),((Datos!R20/Datos!Q20)*11)/factor_trimestre," - ")),(IF(ISNUMBER(((Datos!L20/Datos!K20)*11)/factor_trimestre),((Datos!L20/Datos!K20)*11)/factor_trimestre," - ")))</f>
        <v>4.8251481795088909</v>
      </c>
      <c r="AP20" s="831" t="str">
        <f>IF(ISNUMBER(Datos!CI20/Datos!CJ20),Datos!CI20/Datos!CJ20," - ")</f>
        <v xml:space="preserve"> - </v>
      </c>
      <c r="AQ20" s="831">
        <f>IF(OR(ISNUMBER(FIND("01",Criterios!A8,1)),ISNUMBER(FIND("02",Criterios!A8,1)),ISNUMBER(FIND("03",Criterios!A8,1)),ISNUMBER(FIND("04",Criterios!A8,1))),(J20-Y20+K20)/(F20-K20),(I20-Y20+K20)/(F20-K20))</f>
        <v>-0.91736111111111107</v>
      </c>
      <c r="AR20" s="831">
        <f>IF(ISNUMBER((Datos!P20-Datos!Q20+O20)/(Datos!R20-Datos!P20+Datos!Q20-O20)),(Datos!P20-Datos!Q20+O20)/(Datos!R20-Datos!P20+Datos!Q20-O20)," - ")</f>
        <v>-2.489088120797452E-2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1150.4000000000001</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1543.8346198130594</v>
      </c>
      <c r="G22" s="551">
        <f>IF(ISNUMBER(STDEV(G8:G19)),STDEV(G8:G19),"-")</f>
        <v>1440.1513114947331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250.82743071681773</v>
      </c>
      <c r="AK22" s="251"/>
      <c r="AL22" s="251">
        <f>IF(ISNUMBER(STDEV(AL8:AL19)),STDEV(AL8:AL19),"-")</f>
        <v>0</v>
      </c>
      <c r="AM22" s="253">
        <f>IF(ISNUMBER(STDEV(AM8:AM19)),STDEV(AM8:AM19),"-")</f>
        <v>0</v>
      </c>
      <c r="AN22" s="538">
        <f>IF(ISNUMBER(STDEV(AN8:AN19)),STDEV(AN8:AN19),"-")</f>
        <v>0</v>
      </c>
      <c r="AO22" s="539">
        <f>IF(ISNUMBER(STDEV(AO8:AO19)),STDEV(AO8:AO19),"-")</f>
        <v>4.5416892685714734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9XqQ/R5IKofKeeMrhBGgUUd6F4Tq9IcwG0mQf8CP+RENGlYVKX76kdQNXnkL9b837r8B6tjk172lWPHGuvbKWA==" saltValue="Lmi1d2aokCilUicW8m1rx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8dbIeXdE8bGbXDLgX7w6bYIBJax6SlE3+/ek8MA1+N1cUQbwuA0sa11et2FU8EWQ2bElrqvoDy93sdcCszw+DQ==" saltValue="dv4Jcfci7tC1vbqtXrU4+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H3lyF15ag13n8lRTeWjWbldN4fBrefKgG0zerYCi1lase0armNPlJVeeuz6KrM/o+oIdQrCuqG2NAITM9Obwg==" saltValue="eTrEU3cGQwGIEgmc8ZiB2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GANDIA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0.25356371490280777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0.17929662227062781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kyMXilUUnM32QB7X0u76JkgcVZ73501XGCLeaolS+8xanRCJlwnBcLHKSa038DQRKlzBZakufgA4OmIQ4QAsKw==" saltValue="XEGCjAtLcupXNB24/Diti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hzNDPT4IAIIq6UUqdaS/G6eu8I0AXdHhYhJ7aaH4TtJiGGv8NJR4QLCHG+PZgZVzMCAyXnBJM95CYXqH9HYUGQ==" saltValue="ynkqpmgpfkLF1JpESVv+j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GANDIA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6</v>
      </c>
      <c r="B9" s="500" t="s">
        <v>247</v>
      </c>
      <c r="C9" s="159" t="str">
        <f>Datos!A9</f>
        <v>Sección Civil del T.I</v>
      </c>
      <c r="D9" s="501"/>
      <c r="E9" s="679">
        <f>IF(ISNUMBER(Datos!AQ9),Datos!AQ9," - ")</f>
        <v>6</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103</v>
      </c>
      <c r="G10" s="681">
        <f>IF(ISNUMBER(Datos!I10),Datos!I10," - ")</f>
        <v>97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15</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24</v>
      </c>
      <c r="AC10" s="680" t="str">
        <f>IF(ISNUMBER(IF(D_I="SI",DatosP!K18,DatosP!K18+DatosP!AE18)),IF(D_I="SI",DatosP!K18,DatosP!K18+DatosP!AE18)," - ")</f>
        <v xml:space="preserve"> - </v>
      </c>
      <c r="AD10" s="682"/>
      <c r="AE10" s="682"/>
      <c r="AF10" s="685">
        <f>IF(ISNUMBER(Datos!L10),Datos!L10,"-")</f>
        <v>114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12</v>
      </c>
      <c r="AM10" s="687">
        <f>IF(ISNUMBER(Datos!N10+DatosP!N18),Datos!N10+DatosP!N18," - ")</f>
        <v>9</v>
      </c>
      <c r="AN10" s="687">
        <f>IF(ISNUMBER(Datos!BW10+DatosP!BW18),Datos!BW10+DatosP!BW18," - ")</f>
        <v>0</v>
      </c>
      <c r="AO10" s="688">
        <f>IF(ISNUMBER(Datos!BX10+DatosP!BX18),Datos!BX10+DatosP!BX18," - ")</f>
        <v>0</v>
      </c>
      <c r="AP10" s="690">
        <f>IF(ISNUMBER(((Datos!L10/Datos!K10)*11)/factor_trimestre),((Datos!L10/Datos!K10)*11)/factor_trimestre," - ")</f>
        <v>14.25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0</v>
      </c>
      <c r="B12" s="506" t="s">
        <v>247</v>
      </c>
      <c r="C12" s="7" t="str">
        <f>Datos!A12</f>
        <v xml:space="preserve">Sección Civil y de Instrucción del T.I.       </v>
      </c>
      <c r="D12" s="507"/>
      <c r="E12" s="679">
        <f>IF(ISNUMBER(Datos!AQ12),Datos!AQ12," - ")</f>
        <v>0</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t="str">
        <f>IF(ISNUMBER(DatosP!AS17/E12),DatosP!AS17/E12," - ")</f>
        <v xml:space="preserve"> - </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t="str">
        <f>IF(ISNUMBER(Datos!Q12),Datos!Q12," - ")</f>
        <v xml:space="preserve"> - </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t="str">
        <f>IF(ISNUMBER(Datos!R12),Datos!R12," - ")</f>
        <v xml:space="preserve"> - </v>
      </c>
      <c r="AI12" s="686" t="str">
        <f>IF(ISNUMBER(DatosP!R17),DatosP!R17," - ")</f>
        <v xml:space="preserve"> - </v>
      </c>
      <c r="AJ12" s="679">
        <f>IF(ISNUMBER(Datos!BV12+DatosP!BV17),Datos!BV12+DatosP!BV17," - ")</f>
        <v>0</v>
      </c>
      <c r="AK12" s="669" t="str">
        <f>IF(ISNUMBER(Datos!DV12),Datos!DV12," - ")</f>
        <v xml:space="preserve"> - </v>
      </c>
      <c r="AL12" s="680" t="str">
        <f>IF(ISNUMBER(Datos!M12+DatosP!M17),Datos!M12+DatosP!M17," - ")</f>
        <v xml:space="preserve"> - </v>
      </c>
      <c r="AM12" s="687" t="str">
        <f>IF(ISNUMBER(Datos!N12+DatosP!N17),Datos!N12+DatosP!N17," - ")</f>
        <v xml:space="preserve"> - </v>
      </c>
      <c r="AN12" s="687">
        <f>IF(ISNUMBER(Datos!BW12+DatosP!BW17),Datos!BW12+DatosP!BW17," - ")</f>
        <v>0</v>
      </c>
      <c r="AO12" s="688">
        <f>IF(ISNUMBER(Datos!BX12+DatosP!BX17),Datos!BX12+DatosP!BX17," - ")</f>
        <v>0</v>
      </c>
      <c r="AP12" s="690" t="str">
        <f>IF(ISNUMBER(((IF(J_V="SI",Datos!L12/Datos!K12,(Datos!L12+Datos!AB12)/(Datos!K12+Datos!AA12)))*11)/factor_trimestre),((IF(J_V="SI",Datos!L12/Datos!K12,(Datos!L12+Datos!AB12)/(Datos!K12+Datos!AA12)))*11)/factor_trimestre," - ")</f>
        <v xml:space="preserve"> - </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t="str">
        <f>IF(ISNUMBER((Datos!P12-Datos!Q12+Datos!DE12)/(Datos!R12-Datos!P12+Datos!Q12-Datos!DE12)),(Datos!P12-Datos!Q12+Datos!DE12)/(Datos!R12-Datos!P12+Datos!Q12-Datos!DE12)," - ")</f>
        <v xml:space="preserve"> - </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7</v>
      </c>
      <c r="F13" s="933">
        <f t="shared" si="0"/>
        <v>103</v>
      </c>
      <c r="G13" s="933">
        <f t="shared" si="0"/>
        <v>97</v>
      </c>
      <c r="H13" s="933">
        <f t="shared" si="0"/>
        <v>0</v>
      </c>
      <c r="I13" s="935">
        <f t="shared" si="0"/>
        <v>0</v>
      </c>
      <c r="J13" s="934">
        <f t="shared" si="0"/>
        <v>0</v>
      </c>
      <c r="K13" s="934">
        <f t="shared" si="0"/>
        <v>0</v>
      </c>
      <c r="L13" s="936">
        <f t="shared" si="0"/>
        <v>0</v>
      </c>
      <c r="M13" s="936">
        <f t="shared" si="0"/>
        <v>0</v>
      </c>
      <c r="N13" s="934">
        <f t="shared" si="0"/>
        <v>15</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24</v>
      </c>
      <c r="AC13" s="934">
        <f t="shared" si="1"/>
        <v>0</v>
      </c>
      <c r="AD13" s="934">
        <f t="shared" si="1"/>
        <v>0</v>
      </c>
      <c r="AE13" s="934">
        <f t="shared" si="1"/>
        <v>0</v>
      </c>
      <c r="AF13" s="934">
        <f t="shared" si="1"/>
        <v>114</v>
      </c>
      <c r="AG13" s="934">
        <f t="shared" si="1"/>
        <v>0</v>
      </c>
      <c r="AH13" s="934">
        <f t="shared" si="1"/>
        <v>0</v>
      </c>
      <c r="AI13" s="934">
        <f t="shared" si="1"/>
        <v>0</v>
      </c>
      <c r="AJ13" s="934">
        <f t="shared" si="1"/>
        <v>0</v>
      </c>
      <c r="AK13" s="934">
        <f t="shared" si="1"/>
        <v>0</v>
      </c>
      <c r="AL13" s="934">
        <f t="shared" si="1"/>
        <v>12</v>
      </c>
      <c r="AM13" s="934">
        <f t="shared" si="1"/>
        <v>9</v>
      </c>
      <c r="AN13" s="934">
        <f t="shared" si="1"/>
        <v>0</v>
      </c>
      <c r="AO13" s="934">
        <f t="shared" si="1"/>
        <v>0</v>
      </c>
      <c r="AP13" s="939">
        <f>IF(ISNUMBER(((Datos!L13/Datos!K13)*11)/factor_trimestre),((Datos!L13/Datos!K13)*11)/factor_trimestre," - ")</f>
        <v>6.6752136752136755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-0.23300970873786409</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3</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0</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3.3368983957219251</v>
      </c>
      <c r="AQ19" s="939">
        <f>IF(ISNUMBER(((Datos!M19/Datos!L19)*11)/factor_trimestre),((Datos!M19/Datos!L19)*11)/factor_trimestre," - ")</f>
        <v>0.51717032967032972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7.8947368421052627E-2</v>
      </c>
      <c r="AW19" s="941">
        <f>IF(ISNUMBER((Datos!Q19-Datos!R19)/(Datos!S19-Datos!Q19+Datos!R19)),(Datos!Q19-Datos!R19)/(Datos!S19-Datos!Q19+Datos!R19)," - ")</f>
        <v>-0.11055853098699311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7</v>
      </c>
      <c r="F20" s="946">
        <f t="shared" si="4"/>
        <v>103</v>
      </c>
      <c r="G20" s="946">
        <f t="shared" si="4"/>
        <v>97</v>
      </c>
      <c r="H20" s="946">
        <f t="shared" si="4"/>
        <v>0</v>
      </c>
      <c r="I20" s="947">
        <f t="shared" si="4"/>
        <v>0</v>
      </c>
      <c r="J20" s="948">
        <f t="shared" si="4"/>
        <v>0</v>
      </c>
      <c r="K20" s="948">
        <f t="shared" si="4"/>
        <v>0</v>
      </c>
      <c r="L20" s="948">
        <f t="shared" si="4"/>
        <v>0</v>
      </c>
      <c r="M20" s="948">
        <f t="shared" si="4"/>
        <v>0</v>
      </c>
      <c r="N20" s="947">
        <f t="shared" si="4"/>
        <v>15</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24</v>
      </c>
      <c r="AC20" s="952">
        <f t="shared" si="5"/>
        <v>0</v>
      </c>
      <c r="AD20" s="952">
        <f t="shared" si="5"/>
        <v>0</v>
      </c>
      <c r="AE20" s="952">
        <f t="shared" si="5"/>
        <v>0</v>
      </c>
      <c r="AF20" s="953">
        <f t="shared" si="5"/>
        <v>114</v>
      </c>
      <c r="AG20" s="953">
        <f t="shared" si="5"/>
        <v>0</v>
      </c>
      <c r="AH20" s="953">
        <f t="shared" si="5"/>
        <v>0</v>
      </c>
      <c r="AI20" s="953">
        <f t="shared" si="5"/>
        <v>0</v>
      </c>
      <c r="AJ20" s="954">
        <f t="shared" si="5"/>
        <v>0</v>
      </c>
      <c r="AK20" s="954">
        <f t="shared" si="5"/>
        <v>0</v>
      </c>
      <c r="AL20" s="946">
        <f t="shared" si="5"/>
        <v>12</v>
      </c>
      <c r="AM20" s="946">
        <f t="shared" si="5"/>
        <v>9</v>
      </c>
      <c r="AN20" s="946">
        <f t="shared" si="5"/>
        <v>0</v>
      </c>
      <c r="AO20" s="946">
        <f t="shared" si="5"/>
        <v>0</v>
      </c>
      <c r="AP20" s="946">
        <f>IF(ISNUMBER(((Datos!L20/Datos!K20)*11)/factor_trimestre),((Datos!L20/Datos!K20)*11)/factor_trimestre," - ")</f>
        <v>4.8251481795088909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-0.23300970873786409</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-2.489088120797452E-2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64.666666666666671</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3.2659863237109041</v>
      </c>
      <c r="F22" s="733">
        <f>IF(ISNUMBER(STDEV(F8:F19)),STDEV(F8:F19),"-")</f>
        <v>59.46707772653145</v>
      </c>
      <c r="G22" s="734">
        <f>IF(ISNUMBER(STDEV(G8:G19)),STDEV(G8:G19),"-")</f>
        <v>56.0029761113937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13.856406460551018</v>
      </c>
      <c r="AC22" s="735">
        <f>IF(ISNUMBER(STDEV(AC8:AC19)),STDEV(AC8:AC19),"-")</f>
        <v>0</v>
      </c>
      <c r="AD22" s="738"/>
      <c r="AE22" s="738"/>
      <c r="AF22" s="738"/>
      <c r="AG22" s="738"/>
      <c r="AH22" s="738"/>
      <c r="AI22" s="738"/>
      <c r="AJ22" s="739">
        <f>IF(ISNUMBER(STDEV(AJ8:AJ19)),STDEV(AJ8:AJ19),"-")</f>
        <v>0</v>
      </c>
      <c r="AK22" s="741"/>
      <c r="AL22" s="733">
        <f>IF(ISNUMBER(STDEV(AL8:AL19)),STDEV(AL8:AL19),"-")</f>
        <v>6.9282032302755088</v>
      </c>
      <c r="AM22" s="733"/>
      <c r="AN22" s="733">
        <f>IF(ISNUMBER(STDEV(AN8:AN19)),STDEV(AN8:AN19),"-")</f>
        <v>0</v>
      </c>
      <c r="AO22" s="739">
        <f>IF(ISNUMBER(STDEV(AO8:AO19)),STDEV(AO8:AO19),"-")</f>
        <v>0</v>
      </c>
      <c r="AP22" s="776">
        <f>IF(ISNUMBER(STDEV(AP8:AP19)),STDEV(AP8:AP19),"-")</f>
        <v>5.5919216046715512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1LHGVMp7YejRSPeVV03LTcGafjnAkYA8DWwJKaqEsPNR62sFCaAV6TBGAsEFwwSzJK0/+dxeubfW+/f3L0Et9g==" saltValue="BfNqeCSoYcT2G5zX+IbiP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GANDIA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6</v>
      </c>
      <c r="B9" s="500" t="s">
        <v>247</v>
      </c>
      <c r="C9" s="159" t="str">
        <f>Datos!A9</f>
        <v>Sección Civil del T.I</v>
      </c>
      <c r="D9" s="501"/>
      <c r="E9" s="259">
        <f>IF(ISNUMBER(Datos!AQ9),Datos!AQ9," - ")</f>
        <v>6</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f>IF(ISNUMBER(Datos!Z9),Datos!Z9," - ")</f>
        <v>200</v>
      </c>
      <c r="O9" s="333"/>
      <c r="P9" s="333"/>
      <c r="Q9" s="225">
        <f>IF(ISNUMBER(Datos!P9),Datos!P9,0)</f>
        <v>476</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f>IF(ISNUMBER(Datos!Q9),Datos!Q9," - ")</f>
        <v>697</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f>IF(ISNUMBER(Datos!AB9),Datos!AB9,"-")</f>
        <v>240</v>
      </c>
      <c r="AI9" s="224" t="str">
        <f>IF(ISNUMBER(Datos!CD9),Datos!CD9,"-")</f>
        <v>-</v>
      </c>
      <c r="AJ9" s="224" t="str">
        <f>IF(ISNUMBER(Datos!EN9),Datos!EN9," - ")</f>
        <v xml:space="preserve"> - </v>
      </c>
      <c r="AK9" s="333"/>
      <c r="AL9" s="478"/>
      <c r="AM9" s="224">
        <f>IF(ISNUMBER(Datos!R9),Datos!R9," - ")</f>
        <v>7794</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f>IF(ISNUMBER(Datos!M9),Datos!M9," - ")</f>
        <v>575</v>
      </c>
      <c r="BD9" s="228">
        <f>IF(ISNUMBER(Datos!N9),Datos!N9," - ")</f>
        <v>991</v>
      </c>
      <c r="BE9" s="224" t="str">
        <f>IF(ISNUMBER(Datos!BW9),Datos!BW9," - ")</f>
        <v xml:space="preserve"> - </v>
      </c>
      <c r="BF9" s="224" t="str">
        <f>IF(ISNUMBER(Datos!BX9),Datos!BX9," - ")</f>
        <v xml:space="preserve"> - </v>
      </c>
      <c r="BG9" s="242">
        <f>IF(ISNUMBER(IF(J_V="SI",Datos!K9/Datos!J9,(Datos!K9+Datos!AA9)/(Datos!J9+Datos!Z9))),IF(J_V="SI",Datos!K9/Datos!J9,(Datos!K9+Datos!AA9)/(Datos!J9+Datos!Z9))," - ")</f>
        <v>0.82857142857142863</v>
      </c>
      <c r="BH9" s="224">
        <f>IF(ISNUMBER(((IF(J_V="SI",Datos!L9/Datos!K9,(Datos!L9+Datos!AB9)/(Datos!K9+Datos!AA9)))*11)/factor_trimestre),((IF(J_V="SI",Datos!L9/Datos!K9,(Datos!L9+Datos!AB9)/(Datos!K9+Datos!AA9)))*11)/factor_trimestre," - ")</f>
        <v>6.3011785246617196</v>
      </c>
      <c r="BI9" s="242"/>
      <c r="BJ9" s="1205" t="str">
        <f>IF(ISNUMBER(Datos!CI9/Datos!CJ9),Datos!CI9/Datos!CJ9," - ")</f>
        <v xml:space="preserve"> - </v>
      </c>
      <c r="BK9" s="359" t="str">
        <f>IF(ISNUMBER(Datos!CJ9),Datos!CJ9," - ")</f>
        <v xml:space="preserve"> - </v>
      </c>
      <c r="BL9" s="229" t="str">
        <f>IF(ISNUMBER((J9-AB9+L9)/(F9)),(J9-AB9+L9)/(F9)," - ")</f>
        <v xml:space="preserve"> - </v>
      </c>
      <c r="BM9" s="609">
        <f>IF(ISNUMBER((Datos!P9-Datos!Q9+Datos!DE9)/(Datos!R9-Datos!P9+Datos!Q9-Datos!DE9)),(Datos!P9-Datos!Q9+Datos!DE9)/(Datos!R9-Datos!P9+Datos!Q9-Datos!DE9)," - ")</f>
        <v>-2.7573300062383031E-2</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920.06674860527346</v>
      </c>
      <c r="CF9" s="228">
        <f ca="1">AVERAGEIFS($AB:$AB,$BW:$BW,BW9,$BX:$BX,BX9)</f>
        <v>920.06674860527346</v>
      </c>
      <c r="CG9" s="1191">
        <v>0.7</v>
      </c>
      <c r="CH9" s="1191">
        <f ca="1">AVERAGEIF($BW:$BW,$BW9,$AC:$AC)</f>
        <v>255.9</v>
      </c>
      <c r="CI9" s="228">
        <f ca="1">AVERAGEIFS($AC:$AC,$BW:$BW,$BW9,$BX:$BX,$BX9)</f>
        <v>255.9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1008.6666666666666</v>
      </c>
      <c r="CR9" s="228">
        <f ca="1">AVERAGEIFS($AF:$AF,$BW:$BW,BW9,$BX:$BX,BX9)</f>
        <v>1008.6666666666666</v>
      </c>
      <c r="CS9" s="1191">
        <v>1.3</v>
      </c>
      <c r="CT9" s="1191">
        <v>1.5</v>
      </c>
      <c r="CU9" s="1191">
        <f ca="1">AVERAGEIF($BW:$BW,$BW9,$AH:$AH)</f>
        <v>102.85714285714286</v>
      </c>
      <c r="CV9" s="228">
        <f ca="1">AVERAGEIFS($AH:$AH,$BW:$BW,$BW9,$BX:$BX,$BX9)</f>
        <v>102.85714285714286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2479.8000000000002</v>
      </c>
      <c r="DH9" s="228">
        <f ca="1">AVERAGEIFS($AM:$AM,$BW:$BW,$BW9,$BX:$BX,$BX9)</f>
        <v>2479.8000000000002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4.0792669853570054</v>
      </c>
      <c r="ER9" s="228">
        <f ca="1">AVERAGEIFS($BH:$BH,$BW:$BW,$BW9,$BX:$BX,$BX9)</f>
        <v>4.0792669853570054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103</v>
      </c>
      <c r="G10" s="332">
        <f>IF(ISNUMBER(Datos!I10),Datos!I10," - ")</f>
        <v>97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15</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24</v>
      </c>
      <c r="AC10" s="224">
        <f>IF(ISNUMBER(Datos!Q10),Datos!Q10," - ")</f>
        <v>35</v>
      </c>
      <c r="AD10" s="224"/>
      <c r="AE10" s="224"/>
      <c r="AF10" s="224">
        <f>IF(ISNUMBER(Datos!L10),Datos!L10,"-")</f>
        <v>114</v>
      </c>
      <c r="AG10" s="333"/>
      <c r="AH10" s="224"/>
      <c r="AI10" s="224"/>
      <c r="AJ10" s="224"/>
      <c r="AK10" s="333"/>
      <c r="AL10" s="478"/>
      <c r="AM10" s="224">
        <f>IF(ISNUMBER(Datos!R10),Datos!R10," - ")</f>
        <v>62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12</v>
      </c>
      <c r="BD10" s="228">
        <f>IF(ISNUMBER(Datos!N10),Datos!N10," - ")</f>
        <v>9</v>
      </c>
      <c r="BE10" s="224" t="str">
        <f>IF(ISNUMBER(Datos!BW10),Datos!BW10," - ")</f>
        <v xml:space="preserve"> - </v>
      </c>
      <c r="BF10" s="224" t="str">
        <f>IF(ISNUMBER(Datos!BX10),Datos!BX10," - ")</f>
        <v xml:space="preserve"> - </v>
      </c>
      <c r="BG10" s="242">
        <f>IF(ISNUMBER(Datos!K10/Datos!J10),Datos!K10/Datos!J10," - ")</f>
        <v>0.68571428571428572</v>
      </c>
      <c r="BH10" s="224">
        <f>IF(ISNUMBER(((Datos!L10/Datos!K10)*11)/factor_trimestre),((Datos!L10/Datos!K10)*11)/factor_trimestre," - ")</f>
        <v>14.25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-0.24390243902439024</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920.06674860527346</v>
      </c>
      <c r="CF10" s="228">
        <f ca="1">AVERAGEIFS($AB:$AB,$BW:$BW,BW10,$BX:$BX,BX10)</f>
        <v>920.06674860527346</v>
      </c>
      <c r="CG10" s="1191">
        <v>0.7</v>
      </c>
      <c r="CH10" s="1191">
        <f ca="1">AVERAGEIF($BW:$BW,BW10,$AC:$AC)</f>
        <v>255.9</v>
      </c>
      <c r="CI10" s="228">
        <f ca="1">AVERAGEIFS($AC:$AC,$BW:$BW,BW10,$BX:$BX,BX10)</f>
        <v>255.9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1008.6666666666666</v>
      </c>
      <c r="CR10" s="228">
        <f ca="1">AVERAGEIFS($AF:$AF,$BW:$BW,BW10,$BX:$BX,BX10)</f>
        <v>1008.6666666666666</v>
      </c>
      <c r="CS10" s="1191">
        <v>1.3</v>
      </c>
      <c r="CT10" s="1191">
        <v>1.5</v>
      </c>
      <c r="CU10" s="1191">
        <f ca="1">AVERAGEIF($BW:$BW,$BW10,$AH:$AH)</f>
        <v>102.85714285714286</v>
      </c>
      <c r="CV10" s="228">
        <f ca="1">AVERAGEIFS($AH:$AH,$BW:$BW,$BW10,$BX:$BX,$BX10)</f>
        <v>102.85714285714286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2479.8000000000002</v>
      </c>
      <c r="DH10" s="228">
        <f ca="1">AVERAGEIFS($AM:$AM,$BW:$BW,$BW10,$BX:$BX,$BX10)</f>
        <v>2479.8000000000002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4.0792669853570054</v>
      </c>
      <c r="ER10" s="228">
        <f ca="1">AVERAGEIFS($BH:$BH,$BW:$BW,$BW10,$BX:$BX,$BX10)</f>
        <v>4.0792669853570054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920.06674860527346</v>
      </c>
      <c r="CF11" s="228">
        <f ca="1">AVERAGEIFS($AB:$AB,$BW:$BW,BW11,$BX:$BX,BX11)</f>
        <v>920.06674860527346</v>
      </c>
      <c r="CG11" s="1191">
        <v>0.7</v>
      </c>
      <c r="CH11" s="1191">
        <f ca="1">AVERAGEIF($BW:$BW,BW11,$AC:$AC)</f>
        <v>255.9</v>
      </c>
      <c r="CI11" s="228">
        <f ca="1">AVERAGEIFS($AC:$AC,$BW:$BW,BW11,$BX:$BX,BX11)</f>
        <v>255.9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1008.6666666666666</v>
      </c>
      <c r="CR11" s="228">
        <f ca="1">AVERAGEIFS($AF:$AF,$BW:$BW,BW11,$BX:$BX,BX11)</f>
        <v>1008.6666666666666</v>
      </c>
      <c r="CS11" s="1191">
        <v>1.3</v>
      </c>
      <c r="CT11" s="1191">
        <v>1.5</v>
      </c>
      <c r="CU11" s="1191">
        <f ca="1">AVERAGEIF($BW:$BW,$BW11,$AH:$AH)</f>
        <v>102.85714285714286</v>
      </c>
      <c r="CV11" s="228">
        <f ca="1">AVERAGEIFS($AH:$AH,$BW:$BW,$BW11,$BX:$BX,$BX11)</f>
        <v>102.85714285714286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2479.8000000000002</v>
      </c>
      <c r="DH11" s="228">
        <f ca="1">AVERAGEIFS($AM:$AM,$BW:$BW,$BW11,$BX:$BX,$BX11)</f>
        <v>2479.8000000000002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4.0792669853570054</v>
      </c>
      <c r="ER11" s="228">
        <f ca="1">AVERAGEIFS($BH:$BH,$BW:$BW,$BW11,$BX:$BX,$BX11)</f>
        <v>4.0792669853570054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0</v>
      </c>
      <c r="B12" s="506" t="s">
        <v>247</v>
      </c>
      <c r="C12" s="7" t="str">
        <f>Datos!A12</f>
        <v xml:space="preserve">Sección Civil y de Instrucción del T.I.       </v>
      </c>
      <c r="D12" s="507"/>
      <c r="E12" s="259">
        <f>IF(ISNUMBER(Datos!AQ12),Datos!AQ12," - ")</f>
        <v>0</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t="str">
        <f>IF(ISNUMBER(Datos!Z12),Datos!Z12," - ")</f>
        <v xml:space="preserve"> - </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t="str">
        <f>IF(ISNUMBER(Datos!Q12),Datos!Q12," - ")</f>
        <v xml:space="preserve"> - </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t="str">
        <f>IF(ISNUMBER(Datos!AB12),Datos!AB12,"-")</f>
        <v>-</v>
      </c>
      <c r="AI12" s="224" t="str">
        <f>IF(ISNUMBER(Datos!CD12),Datos!CD12,"-")</f>
        <v>-</v>
      </c>
      <c r="AJ12" s="224" t="str">
        <f>IF(ISNUMBER(Datos!EN12),Datos!EN12," - ")</f>
        <v xml:space="preserve"> - </v>
      </c>
      <c r="AK12" s="333"/>
      <c r="AL12" s="478"/>
      <c r="AM12" s="224" t="str">
        <f>IF(ISNUMBER(Datos!R12),Datos!R12," - ")</f>
        <v xml:space="preserve"> - </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t="str">
        <f>IF(ISNUMBER(Datos!M12),Datos!M12," - ")</f>
        <v xml:space="preserve"> - </v>
      </c>
      <c r="BD12" s="228" t="str">
        <f>IF(ISNUMBER(Datos!N12),Datos!N12," - ")</f>
        <v xml:space="preserve"> - </v>
      </c>
      <c r="BE12" s="224" t="str">
        <f>IF(ISNUMBER(Datos!BW12),Datos!BW12," - ")</f>
        <v xml:space="preserve"> - </v>
      </c>
      <c r="BF12" s="224" t="str">
        <f>IF(ISNUMBER(Datos!BX12),Datos!BX12," - ")</f>
        <v xml:space="preserve"> - </v>
      </c>
      <c r="BG12" s="242" t="str">
        <f>IF(ISNUMBER(IF(J_V="SI",Datos!K12/Datos!J12,(Datos!K12+Datos!AA12)/(Datos!J12+Datos!Z12))),IF(J_V="SI",Datos!K12/Datos!J12,(Datos!K12+Datos!AA12)/(Datos!J12+Datos!Z12))," - ")</f>
        <v xml:space="preserve"> - </v>
      </c>
      <c r="BH12" s="224" t="str">
        <f>IF(ISNUMBER(((IF(J_V="SI",Datos!L12/Datos!K12,(Datos!L12+Datos!AB12)/(Datos!K12+Datos!AA12)))*11)/factor_trimestre),((IF(J_V="SI",Datos!L12/Datos!K12,(Datos!L12+Datos!AB12)/(Datos!K12+Datos!AA12)))*11)/factor_trimestre," - ")</f>
        <v xml:space="preserve"> - </v>
      </c>
      <c r="BI12" s="242"/>
      <c r="BJ12" s="1205" t="str">
        <f>IF(ISNUMBER(Datos!CI12/Datos!CJ12),Datos!CI12/Datos!CJ12," - ")</f>
        <v xml:space="preserve"> - </v>
      </c>
      <c r="BK12" s="359" t="str">
        <f>IF(ISNUMBER(Datos!CJ12),Datos!CJ12," - ")</f>
        <v xml:space="preserve"> - </v>
      </c>
      <c r="BL12" s="229" t="str">
        <f t="shared" si="0"/>
        <v xml:space="preserve"> - </v>
      </c>
      <c r="BM12" s="609" t="str">
        <f>IF(ISNUMBER((Datos!P12-Datos!Q12+Datos!DE12)/(Datos!R12-Datos!P12+Datos!Q12-Datos!DE12)),(Datos!P12-Datos!Q12+Datos!DE12)/(Datos!R12-Datos!P12+Datos!Q12-Datos!DE12)," - ")</f>
        <v xml:space="preserve"> - </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920.06674860527346</v>
      </c>
      <c r="CF12" s="228">
        <f ca="1">AVERAGEIFS($AB:$AB,$BW:$BW,BW12,$BX:$BX,BX12)</f>
        <v>920.06674860527346</v>
      </c>
      <c r="CG12" s="1191">
        <v>0.7</v>
      </c>
      <c r="CH12" s="1191">
        <f ca="1">AVERAGEIF($BW:$BW,BW12,$AC:$AC)</f>
        <v>255.9</v>
      </c>
      <c r="CI12" s="228">
        <f ca="1">AVERAGEIFS($AC:$AC,$BW:$BW,BW12,$BX:$BX,BX12)</f>
        <v>255.9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1008.6666666666666</v>
      </c>
      <c r="CR12" s="228">
        <f ca="1">AVERAGEIFS($AF:$AF,$BW:$BW,BW12,$BX:$BX,BX12)</f>
        <v>1008.6666666666666</v>
      </c>
      <c r="CS12" s="1191">
        <v>1.3</v>
      </c>
      <c r="CT12" s="1191">
        <v>1.5</v>
      </c>
      <c r="CU12" s="1191">
        <f ca="1">AVERAGEIF($BW:$BW,$BW12,$AH:$AH)</f>
        <v>102.85714285714286</v>
      </c>
      <c r="CV12" s="228">
        <f ca="1">AVERAGEIFS($AH:$AH,$BW:$BW,$BW12,$BX:$BX,$BX12)</f>
        <v>102.85714285714286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2479.8000000000002</v>
      </c>
      <c r="DH12" s="228">
        <f ca="1">AVERAGEIFS($AM:$AM,$BW:$BW,$BW12,$BX:$BX,$BX12)</f>
        <v>2479.8000000000002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4.0792669853570054</v>
      </c>
      <c r="ER12" s="228">
        <f ca="1">AVERAGEIFS($BH:$BH,$BW:$BW,$BW12,$BX:$BX,$BX12)</f>
        <v>4.0792669853570054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7</v>
      </c>
      <c r="F13" s="895">
        <f t="shared" si="1"/>
        <v>103</v>
      </c>
      <c r="G13" s="895">
        <f t="shared" si="1"/>
        <v>97</v>
      </c>
      <c r="H13" s="896">
        <f t="shared" si="1"/>
        <v>0</v>
      </c>
      <c r="I13" s="895">
        <f t="shared" si="1"/>
        <v>0</v>
      </c>
      <c r="J13" s="864">
        <f t="shared" si="1"/>
        <v>0</v>
      </c>
      <c r="K13" s="864">
        <f t="shared" si="1"/>
        <v>0</v>
      </c>
      <c r="L13" s="896">
        <f t="shared" si="1"/>
        <v>0</v>
      </c>
      <c r="M13" s="896">
        <f t="shared" si="1"/>
        <v>0</v>
      </c>
      <c r="N13" s="896">
        <f t="shared" si="1"/>
        <v>200</v>
      </c>
      <c r="O13" s="897">
        <f t="shared" si="1"/>
        <v>0</v>
      </c>
      <c r="P13" s="897">
        <f t="shared" si="1"/>
        <v>0</v>
      </c>
      <c r="Q13" s="896">
        <f t="shared" si="1"/>
        <v>491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24</v>
      </c>
      <c r="AC13" s="896">
        <f t="shared" si="2"/>
        <v>732</v>
      </c>
      <c r="AD13" s="896">
        <f t="shared" si="2"/>
        <v>0</v>
      </c>
      <c r="AE13" s="896">
        <f t="shared" si="2"/>
        <v>0</v>
      </c>
      <c r="AF13" s="896">
        <f t="shared" si="2"/>
        <v>114</v>
      </c>
      <c r="AG13" s="896">
        <f t="shared" si="2"/>
        <v>0</v>
      </c>
      <c r="AH13" s="896">
        <f t="shared" si="2"/>
        <v>240</v>
      </c>
      <c r="AI13" s="896">
        <f t="shared" si="2"/>
        <v>0</v>
      </c>
      <c r="AJ13" s="896">
        <f t="shared" si="2"/>
        <v>0</v>
      </c>
      <c r="AK13" s="896">
        <f t="shared" si="2"/>
        <v>0</v>
      </c>
      <c r="AL13" s="896">
        <f t="shared" si="2"/>
        <v>0</v>
      </c>
      <c r="AM13" s="896">
        <f t="shared" si="2"/>
        <v>7856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587</v>
      </c>
      <c r="BD13" s="896">
        <f t="shared" si="2"/>
        <v>1000</v>
      </c>
      <c r="BE13" s="896">
        <f t="shared" si="2"/>
        <v>0</v>
      </c>
      <c r="BF13" s="896">
        <f t="shared" si="2"/>
        <v>0</v>
      </c>
      <c r="BG13" s="896">
        <f>IF(ISNUMBER(Datos!K13/Datos!J13),Datos!K13/Datos!J13," - ")</f>
        <v>0.81</v>
      </c>
      <c r="BH13" s="900">
        <f>IF(ISNUMBER(((Datos!L13/Datos!K13)*11)/factor_trimestre),((Datos!L13/Datos!K13)*11)/factor_trimestre," - ")</f>
        <v>6.6752136752136755</v>
      </c>
      <c r="BI13" s="896">
        <f>IF(ISNUMBER('Resol  Asuntos'!D13/NºAsuntos!G13),'Resol  Asuntos'!D13/NºAsuntos!G13," - ")</f>
        <v>0.25356371490280777</v>
      </c>
      <c r="BJ13" s="896" t="str">
        <f>IF(ISNUMBER(Datos!CI13/Datos!CJ13),Datos!CI13/Datos!CJ13," - ")</f>
        <v xml:space="preserve"> - </v>
      </c>
      <c r="BK13" s="896">
        <f>SUBTOTAL(9,BK8:BK12)</f>
        <v>0</v>
      </c>
      <c r="BL13" s="896">
        <f>IF(ISNUMBER((I13-AB13+L13)/(F13)),(I13-AB13+L13)/(F13)," - ")</f>
        <v>-0.23300970873786409</v>
      </c>
      <c r="BM13" s="901">
        <f>SUBTOTAL(9,BM9:BM12)</f>
        <v>-0.27147573908677325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3</v>
      </c>
      <c r="B15" s="593" t="s">
        <v>397</v>
      </c>
      <c r="C15" s="598" t="str">
        <f>Datos!A15</f>
        <v xml:space="preserve">Seccion Instruccion Del T.I.                   </v>
      </c>
      <c r="D15" s="599"/>
      <c r="E15" s="1160">
        <f>IF(ISNUMBER(Datos!AQ15),Datos!AQ15," - ")</f>
        <v>3</v>
      </c>
      <c r="F15" s="594">
        <f>IF(ISNUMBER(AF15+AB15-Datos!J15-L15),AF15+AB15-Datos!J15-L15," - ")</f>
        <v>2777</v>
      </c>
      <c r="G15" s="596">
        <f>IF(ISNUMBER(IF(D_I="SI",Datos!I15,Datos!I15+Datos!AC15)),IF(D_I="SI",Datos!I15,Datos!I15+Datos!AC15)," - ")</f>
        <v>2676</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139</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f>IF(ISNUMBER(IF(D_I="SI",Datos!K15,Datos!K15+Datos!AE15)),IF(D_I="SI",Datos!K15,Datos!K15+Datos!AE15)," - ")</f>
        <v>2258</v>
      </c>
      <c r="AC15" s="224">
        <f>IF(ISNUMBER(Datos!Q15),Datos!Q15," - ")</f>
        <v>110</v>
      </c>
      <c r="AD15" s="224"/>
      <c r="AE15" s="224"/>
      <c r="AF15" s="224">
        <f>IF(ISNUMBER(IF(D_I="SI",Datos!L15,Datos!L15+Datos!AF15)),IF(D_I="SI",Datos!L15,Datos!L15+Datos!AF15)," - ")</f>
        <v>2760</v>
      </c>
      <c r="AG15" s="333"/>
      <c r="AH15" s="224"/>
      <c r="AI15" s="224"/>
      <c r="AJ15" s="224"/>
      <c r="AK15" s="333"/>
      <c r="AL15" s="478"/>
      <c r="AM15" s="224">
        <f>IF(ISNUMBER(Datos!R15),Datos!R15," - ")</f>
        <v>394</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f>IF(ISNUMBER(Datos!M15),Datos!M15," - ")</f>
        <v>412</v>
      </c>
      <c r="BD15" s="228">
        <f>IF(ISNUMBER(Datos!N15),Datos!N15," - ")</f>
        <v>1167</v>
      </c>
      <c r="BE15" s="224" t="str">
        <f>IF(ISNUMBER(Datos!BW15),Datos!BW15," - ")</f>
        <v xml:space="preserve"> - </v>
      </c>
      <c r="BF15" s="224" t="str">
        <f>IF(ISNUMBER(Datos!BX15),Datos!BX15," - ")</f>
        <v xml:space="preserve"> - </v>
      </c>
      <c r="BG15" s="242">
        <f>IF(ISNUMBER(IF(D_I="SI",Datos!K15/Datos!J15,(Datos!K15+Datos!AE15)/(Datos!J15+Datos!AD15))),IF(D_I="SI",Datos!K15/Datos!J15,(Datos!K15+Datos!AE15)/(Datos!J15+Datos!AD15))," - ")</f>
        <v>1.0075858991521642</v>
      </c>
      <c r="BH15" s="224">
        <f>IF(ISNUMBER(((IF(D_I="SI",Datos!L15/Datos!K15,(Datos!L15+Datos!AF15)/(Datos!K15+Datos!AE15)))*11)/factor_trimestre),((IF(D_I="SI",Datos!L15/Datos!K15,(Datos!L15+Datos!AF15)/(Datos!K15+Datos!AE15)))*11)/factor_trimestre," - ")</f>
        <v>3.66696191319752</v>
      </c>
      <c r="BI15" s="242">
        <f>IF(ISNUMBER('Resol  Asuntos'!D15/NºAsuntos!G15),'Resol  Asuntos'!D15/NºAsuntos!G15," - ")</f>
        <v>0.1824623560673162</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920.06674860527346</v>
      </c>
      <c r="CF15" s="228">
        <f ca="1">AVERAGEIFS($AB:$AB,$BW:$BW,BW15,$BX:$BX,BX15)</f>
        <v>920.06674860527346</v>
      </c>
      <c r="CG15" s="1191">
        <v>0.7</v>
      </c>
      <c r="CH15" s="1191">
        <f ca="1">AVERAGEIF($BW:$BW,BW15,$AC:$AC)</f>
        <v>255.9</v>
      </c>
      <c r="CI15" s="228">
        <f ca="1">AVERAGEIFS($AC:$AC,$BW:$BW,BW15,$BX:$BX,BX15)</f>
        <v>255.9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1008.6666666666666</v>
      </c>
      <c r="CR15" s="228">
        <f ca="1">AVERAGEIFS($AF:$AF,$BW:$BW,BW15,$BX:$BX,BX15)</f>
        <v>1008.6666666666666</v>
      </c>
      <c r="CS15" s="1191">
        <v>1.3</v>
      </c>
      <c r="CT15" s="1191">
        <v>1.5</v>
      </c>
      <c r="CU15" s="1191">
        <f ca="1">AVERAGEIF($BW:$BW,$BW15,$AH:$AH)</f>
        <v>102.85714285714286</v>
      </c>
      <c r="CV15" s="228">
        <f ca="1">AVERAGEIFS($AH:$AH,$BW:$BW,$BW15,$BX:$BX,$BX15)</f>
        <v>102.85714285714286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2479.8000000000002</v>
      </c>
      <c r="DH15" s="228">
        <f ca="1">AVERAGEIFS($AM:$AM,$BW:$BW,$BW15,$BX:$BX,$BX15)</f>
        <v>2479.8000000000002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4.0792669853570054</v>
      </c>
      <c r="ER15" s="228">
        <f ca="1">AVERAGEIFS($BH:$BH,$BW:$BW,$BW15,$BX:$BX,$BX15)</f>
        <v>4.0792669853570054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920.06674860527346</v>
      </c>
      <c r="CF16" s="228">
        <f ca="1">AVERAGEIFS($AB:$AB,$BW:$BW,BW16,$BX:$BX,BX16)</f>
        <v>920.06674860527346</v>
      </c>
      <c r="CG16" s="1191">
        <v>0.7</v>
      </c>
      <c r="CH16" s="1191">
        <f ca="1">AVERAGEIF($BW:$BW,BW16,$AC:$AC)</f>
        <v>255.9</v>
      </c>
      <c r="CI16" s="228">
        <f ca="1">AVERAGEIFS($AC:$AC,$BW:$BW,BW16,$BX:$BX,BX16)</f>
        <v>255.9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1008.6666666666666</v>
      </c>
      <c r="CR16" s="228">
        <f ca="1">AVERAGEIFS($AF:$AF,$BW:$BW,BW16,$BX:$BX,BX16)</f>
        <v>1008.6666666666666</v>
      </c>
      <c r="CS16" s="1191">
        <v>1.3</v>
      </c>
      <c r="CT16" s="1191">
        <v>1.5</v>
      </c>
      <c r="CU16" s="1191">
        <f ca="1">AVERAGEIF($BW:$BW,$BW16,$AH:$AH)</f>
        <v>102.85714285714286</v>
      </c>
      <c r="CV16" s="228">
        <f ca="1">AVERAGEIFS($AH:$AH,$BW:$BW,$BW16,$BX:$BX,$BX16)</f>
        <v>102.85714285714286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2479.8000000000002</v>
      </c>
      <c r="DH16" s="228">
        <f ca="1">AVERAGEIFS($AM:$AM,$BW:$BW,$BW16,$BX:$BX,$BX16)</f>
        <v>2479.8000000000002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4.0792669853570054</v>
      </c>
      <c r="ER16" s="228">
        <f ca="1">AVERAGEIFS($BH:$BH,$BW:$BW,$BW16,$BX:$BX,$BX16)</f>
        <v>4.0792669853570054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0</v>
      </c>
      <c r="B17" s="593" t="s">
        <v>397</v>
      </c>
      <c r="C17" s="598" t="str">
        <f>Datos!A17</f>
        <v xml:space="preserve">Sección Civil y de Inst. TI                      </v>
      </c>
      <c r="D17" s="599"/>
      <c r="E17" s="1160">
        <f>IF(ISNUMBER(Datos!AQ17),Datos!AQ17," - ")</f>
        <v>0</v>
      </c>
      <c r="F17" s="594" t="str">
        <f>IF(ISNUMBER(AF17+AB17-Datos!J17-L17),AF17+AB17-Datos!J17-L17," - ")</f>
        <v xml:space="preserve"> - </v>
      </c>
      <c r="G17" s="596" t="str">
        <f>IF(ISNUMBER(IF(D_I="SI",Datos!I17,Datos!I17+Datos!AC17)),IF(D_I="SI",Datos!I17,Datos!I17+Datos!AC17)," - ")</f>
        <v xml:space="preserve"> - </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t="str">
        <f>IF(ISNUMBER(IF(D_I="SI",Datos!K17,Datos!K17+Datos!AE17)),IF(D_I="SI",Datos!K17,Datos!K17+Datos!AE17)," - ")</f>
        <v xml:space="preserve"> - </v>
      </c>
      <c r="AC17" s="224" t="str">
        <f>IF(ISNUMBER(Datos!Q17),Datos!Q17," - ")</f>
        <v xml:space="preserve"> - </v>
      </c>
      <c r="AD17" s="224"/>
      <c r="AE17" s="224"/>
      <c r="AF17" s="224" t="str">
        <f>IF(ISNUMBER(IF(D_I="SI",Datos!L17,Datos!L17+Datos!AF17)),IF(D_I="SI",Datos!L17,Datos!L17+Datos!AF17)," - ")</f>
        <v xml:space="preserve"> - </v>
      </c>
      <c r="AG17" s="333"/>
      <c r="AH17" s="224"/>
      <c r="AI17" s="224"/>
      <c r="AJ17" s="224"/>
      <c r="AK17" s="333"/>
      <c r="AL17" s="478"/>
      <c r="AM17" s="224" t="str">
        <f>IF(ISNUMBER(Datos!R17),Datos!R17," - ")</f>
        <v xml:space="preserve"> - </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t="str">
        <f>IF(ISNUMBER(Datos!M17),Datos!M17," - ")</f>
        <v xml:space="preserve"> - </v>
      </c>
      <c r="BD17" s="228" t="str">
        <f>IF(ISNUMBER(Datos!N17),Datos!N17," - ")</f>
        <v xml:space="preserve"> - </v>
      </c>
      <c r="BE17" s="224" t="str">
        <f>IF(ISNUMBER(Datos!BW17),Datos!BW17," - ")</f>
        <v xml:space="preserve"> - </v>
      </c>
      <c r="BF17" s="224" t="str">
        <f>IF(ISNUMBER(Datos!BX17),Datos!BX17," - ")</f>
        <v xml:space="preserve"> - </v>
      </c>
      <c r="BG17" s="242" t="str">
        <f>IF(ISNUMBER(IF(D_I="SI",Datos!K17/Datos!J17,(Datos!K17+Datos!AE17)/(Datos!J17+Datos!AD17))),IF(D_I="SI",Datos!K17/Datos!J17,(Datos!K17+Datos!AE17)/(Datos!J17+Datos!AD17))," - ")</f>
        <v xml:space="preserve"> - </v>
      </c>
      <c r="BH17" s="224" t="str">
        <f>IF(ISNUMBER(((IF(D_I="SI",Datos!L17/Datos!K17,(Datos!L17+Datos!AF17)/(Datos!K17+Datos!AE17)))*11)/factor_trimestre),((IF(D_I="SI",Datos!L17/Datos!K17,(Datos!L17+Datos!AF17)/(Datos!K17+Datos!AE17)))*11)/factor_trimestre," - ")</f>
        <v xml:space="preserve"> - </v>
      </c>
      <c r="BI17" s="242" t="str">
        <f>IF(ISNUMBER('Resol  Asuntos'!D17/NºAsuntos!G17),'Resol  Asuntos'!D17/NºAsuntos!G17," - ")</f>
        <v xml:space="preserve"> - </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920.06674860527346</v>
      </c>
      <c r="CF17" s="228">
        <f ca="1">AVERAGEIFS($AB:$AB,$BW:$BW,BW17,$BX:$BX,BX17)</f>
        <v>920.06674860527346</v>
      </c>
      <c r="CG17" s="1191">
        <v>0.7</v>
      </c>
      <c r="CH17" s="1191">
        <f ca="1">AVERAGEIF($BW:$BW,BW17,$AC:$AC)</f>
        <v>255.9</v>
      </c>
      <c r="CI17" s="228">
        <f ca="1">AVERAGEIFS($AC:$AC,$BW:$BW,BW17,$BX:$BX,BX17)</f>
        <v>255.9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1008.6666666666666</v>
      </c>
      <c r="CR17" s="228">
        <f ca="1">AVERAGEIFS($AF:$AF,$BW:$BW,BW17,$BX:$BX,BX17)</f>
        <v>1008.6666666666666</v>
      </c>
      <c r="CS17" s="1191">
        <v>1.3</v>
      </c>
      <c r="CT17" s="1191">
        <v>1.5</v>
      </c>
      <c r="CU17" s="1191">
        <f ca="1">AVERAGEIF($BW:$BW,$BW17,$AH:$AH)</f>
        <v>102.85714285714286</v>
      </c>
      <c r="CV17" s="228">
        <f ca="1">AVERAGEIFS($AH:$AH,$BW:$BW,$BW17,$BX:$BX,$BX17)</f>
        <v>102.85714285714286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2479.8000000000002</v>
      </c>
      <c r="DH17" s="228">
        <f ca="1">AVERAGEIFS($AM:$AM,$BW:$BW,$BW17,$BX:$BX,$BX17)</f>
        <v>2479.8000000000002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4.0792669853570054</v>
      </c>
      <c r="ER17" s="228">
        <f ca="1">AVERAGEIFS($BH:$BH,$BW:$BW,$BW17,$BX:$BX,$BX17)</f>
        <v>4.0792669853570054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103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12</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360</v>
      </c>
      <c r="AC18" s="224">
        <f>IF(ISNUMBER(Datos!Q18),Datos!Q18," - ")</f>
        <v>11</v>
      </c>
      <c r="AD18" s="224"/>
      <c r="AE18" s="224"/>
      <c r="AF18" s="224">
        <f>IF(ISNUMBER(Datos!L18),Datos!L18,"-")</f>
        <v>152</v>
      </c>
      <c r="AG18" s="333"/>
      <c r="AH18" s="224"/>
      <c r="AI18" s="224"/>
      <c r="AJ18" s="224"/>
      <c r="AK18" s="333"/>
      <c r="AL18" s="478"/>
      <c r="AM18" s="224">
        <f>IF(ISNUMBER(Datos!R18),Datos!R18," - ")</f>
        <v>16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90</v>
      </c>
      <c r="BD18" s="228">
        <f>IF(ISNUMBER(Datos!N18),Datos!N18," - ")</f>
        <v>202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0.91836734693877553</v>
      </c>
      <c r="BH18" s="224">
        <f>IF(ISNUMBER(((IF(D_I="SI",Datos!L18/Datos!K18,(Datos!L18+Datos!AF18)/(Datos!K18+Datos!AE18)))*11)/factor_trimestre),((IF(D_I="SI",Datos!L18/Datos!K18,(Datos!L18+Datos!AF18)/(Datos!K18+Datos!AE18)))*11)/factor_trimestre," - ")</f>
        <v>1.2666666666666668</v>
      </c>
      <c r="BI18" s="242">
        <f>IF(ISNUMBER('Resol  Asuntos'!D18/NºAsuntos!G18),'Resol  Asuntos'!D18/NºAsuntos!G18," - ")</f>
        <v>0.25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920.06674860527346</v>
      </c>
      <c r="CF18" s="228">
        <f ca="1">AVERAGEIFS($AB:$AB,$BW:$BW,BW18,$BX:$BX,BX18)</f>
        <v>920.06674860527346</v>
      </c>
      <c r="CG18" s="1191">
        <v>0.7</v>
      </c>
      <c r="CH18" s="1191">
        <f ca="1">AVERAGEIF($BW:$BW,BW18,$AC:$AC)</f>
        <v>255.9</v>
      </c>
      <c r="CI18" s="228">
        <f ca="1">AVERAGEIFS($AC:$AC,$BW:$BW,BW18,$BX:$BX,BX18)</f>
        <v>255.9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1008.6666666666666</v>
      </c>
      <c r="CR18" s="228">
        <f ca="1">AVERAGEIFS($AF:$AF,$BW:$BW,BW18,$BX:$BX,BX18)</f>
        <v>1008.6666666666666</v>
      </c>
      <c r="CS18" s="1191">
        <v>1.3</v>
      </c>
      <c r="CT18" s="1191">
        <v>1.5</v>
      </c>
      <c r="CU18" s="1191">
        <f ca="1">AVERAGEIF($BW:$BW,$BW18,$AH:$AH)</f>
        <v>102.85714285714286</v>
      </c>
      <c r="CV18" s="228">
        <f ca="1">AVERAGEIFS($AH:$AH,$BW:$BW,$BW18,$BX:$BX,$BX18)</f>
        <v>102.85714285714286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2479.8000000000002</v>
      </c>
      <c r="DH18" s="228">
        <f ca="1">AVERAGEIFS($AM:$AM,$BW:$BW,$BW18,$BX:$BX,$BX18)</f>
        <v>2479.8000000000002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4.0792669853570054</v>
      </c>
      <c r="ER18" s="228">
        <f ca="1">AVERAGEIFS($BH:$BH,$BW:$BW,$BW18,$BX:$BX,$BX18)</f>
        <v>4.0792669853570054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2777</v>
      </c>
      <c r="G19" s="895">
        <f>SUBTOTAL(9,G15:G18)</f>
        <v>2779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151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2618</v>
      </c>
      <c r="AC19" s="896">
        <f t="shared" si="5"/>
        <v>121</v>
      </c>
      <c r="AD19" s="896">
        <f t="shared" si="5"/>
        <v>0</v>
      </c>
      <c r="AE19" s="896">
        <f t="shared" si="5"/>
        <v>0</v>
      </c>
      <c r="AF19" s="896">
        <f t="shared" si="5"/>
        <v>2912</v>
      </c>
      <c r="AG19" s="896">
        <f t="shared" si="5"/>
        <v>0</v>
      </c>
      <c r="AH19" s="896">
        <f t="shared" si="5"/>
        <v>0</v>
      </c>
      <c r="AI19" s="896">
        <f t="shared" si="5"/>
        <v>0</v>
      </c>
      <c r="AJ19" s="896">
        <f t="shared" si="5"/>
        <v>0</v>
      </c>
      <c r="AK19" s="896">
        <f t="shared" si="5"/>
        <v>0</v>
      </c>
      <c r="AL19" s="896">
        <f t="shared" si="5"/>
        <v>0</v>
      </c>
      <c r="AM19" s="896">
        <f t="shared" si="5"/>
        <v>410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502</v>
      </c>
      <c r="BD19" s="896">
        <f t="shared" si="5"/>
        <v>1369</v>
      </c>
      <c r="BE19" s="896">
        <f t="shared" si="5"/>
        <v>0</v>
      </c>
      <c r="BF19" s="896">
        <f t="shared" si="5"/>
        <v>0</v>
      </c>
      <c r="BG19" s="896">
        <f>IF(ISNUMBER(Datos!K19/Datos!J19),Datos!K19/Datos!J19," - ")</f>
        <v>0.99430307633877701</v>
      </c>
      <c r="BH19" s="900">
        <f>IF(ISNUMBER(((Datos!L19/Datos!K19)*11)/factor_trimestre),((Datos!L19/Datos!K19)*11)/factor_trimestre," - ")</f>
        <v>3.3368983957219251</v>
      </c>
      <c r="BI19" s="896">
        <f>SUBTOTAL(9,BI15:BI18)</f>
        <v>0.4324623560673162</v>
      </c>
      <c r="BJ19" s="896">
        <f>SUBTOTAL(9,BJ15:BJ18)</f>
        <v>0</v>
      </c>
      <c r="BK19" s="896">
        <f>SUBTOTAL(9,BK15:BK18)</f>
        <v>0</v>
      </c>
      <c r="BL19" s="896">
        <f>IF(ISNUMBER((I19-AB19+L19)/(F19)),(I19-AB19+L19)/(F19)," - ")</f>
        <v>-0.94274396831112717</v>
      </c>
      <c r="BM19" s="902">
        <f>IF(ISNUMBER((Datos!P19-Datos!Q19)/(Datos!R19-Datos!P19+Datos!Q19)),(Datos!P19-Datos!Q19)/(Datos!R19-Datos!P19+Datos!Q19)," - ")</f>
        <v>7.8947368421052627E-2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11</v>
      </c>
      <c r="F20" s="817">
        <f t="shared" si="7"/>
        <v>2880</v>
      </c>
      <c r="G20" s="817">
        <f t="shared" si="7"/>
        <v>2876</v>
      </c>
      <c r="H20" s="819">
        <f t="shared" si="7"/>
        <v>0</v>
      </c>
      <c r="I20" s="817">
        <f t="shared" si="7"/>
        <v>0</v>
      </c>
      <c r="J20" s="819">
        <f t="shared" si="7"/>
        <v>0</v>
      </c>
      <c r="K20" s="819">
        <f t="shared" si="7"/>
        <v>0</v>
      </c>
      <c r="L20" s="878">
        <f t="shared" si="7"/>
        <v>0</v>
      </c>
      <c r="M20" s="878">
        <f t="shared" si="7"/>
        <v>0</v>
      </c>
      <c r="N20" s="878">
        <f t="shared" si="7"/>
        <v>200</v>
      </c>
      <c r="O20" s="878">
        <f t="shared" si="7"/>
        <v>0</v>
      </c>
      <c r="P20" s="878">
        <f t="shared" si="7"/>
        <v>0</v>
      </c>
      <c r="Q20" s="819">
        <f t="shared" si="7"/>
        <v>642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2642</v>
      </c>
      <c r="AC20" s="818">
        <f t="shared" si="8"/>
        <v>853</v>
      </c>
      <c r="AD20" s="818">
        <f t="shared" si="8"/>
        <v>0</v>
      </c>
      <c r="AE20" s="818">
        <f t="shared" si="8"/>
        <v>0</v>
      </c>
      <c r="AF20" s="825">
        <f t="shared" si="8"/>
        <v>3026</v>
      </c>
      <c r="AG20" s="825">
        <f t="shared" si="8"/>
        <v>0</v>
      </c>
      <c r="AH20" s="825">
        <f t="shared" si="8"/>
        <v>240</v>
      </c>
      <c r="AI20" s="825">
        <f t="shared" si="8"/>
        <v>0</v>
      </c>
      <c r="AJ20" s="818">
        <f t="shared" si="8"/>
        <v>0</v>
      </c>
      <c r="AK20" s="825">
        <f t="shared" si="8"/>
        <v>0</v>
      </c>
      <c r="AL20" s="825">
        <f t="shared" si="8"/>
        <v>0</v>
      </c>
      <c r="AM20" s="825">
        <f t="shared" si="8"/>
        <v>8266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1089</v>
      </c>
      <c r="BD20" s="817">
        <f t="shared" si="8"/>
        <v>2369</v>
      </c>
      <c r="BE20" s="817">
        <f t="shared" si="8"/>
        <v>0</v>
      </c>
      <c r="BF20" s="827">
        <f t="shared" si="8"/>
        <v>0</v>
      </c>
      <c r="BG20" s="912">
        <f>IF(ISNUMBER(Datos!K20/Datos!J20),Datos!K20/Datos!J20," - ")</f>
        <v>0.90273265813109116</v>
      </c>
      <c r="BH20" s="912">
        <f>IF(ISNUMBER(((Datos!L20/Datos!K20)*11)/factor_trimestre),((Datos!L20/Datos!K20)*11)/factor_trimestre," - ")</f>
        <v>4.8251481795088909</v>
      </c>
      <c r="BI20" s="810">
        <f>IF(ISNUMBER(Datos!J20/Datos!I20),Datos!J20/Datos!I20," - ")</f>
        <v>0.75197585860037364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-0.91736111111111107</v>
      </c>
      <c r="BM20" s="886">
        <f>IF(ISNUMBER((Datos!P20-Datos!Q20+R20)/(Datos!R20-Datos!P20+Datos!Q20-R20)),(Datos!P20-Datos!Q20+R20)/(Datos!R20-Datos!P20+Datos!Q20-R20)," - ")</f>
        <v>-2.489088120797452E-2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1150.4000000000001</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2.6583202716502514</v>
      </c>
      <c r="F22" s="550">
        <f>IF(ISNUMBER(STDEV(F8:F19)),STDEV(F8:F19),"-")</f>
        <v>1543.8346198130594</v>
      </c>
      <c r="G22" s="551">
        <f>IF(ISNUMBER(STDEV(G8:G19)),STDEV(G8:G19),"-")</f>
        <v>1440.1513114947331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1274.6674860527353</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250.82743071681773</v>
      </c>
      <c r="BD22" s="550"/>
      <c r="BE22" s="550">
        <f>IF(ISNUMBER(STDEV(BE8:BE19)),STDEV(BE8:BE19),"-")</f>
        <v>0</v>
      </c>
      <c r="BF22" s="555">
        <f>IF(ISNUMBER(STDEV(BF8:BF19)),STDEV(BF8:BF19),"-")</f>
        <v>0</v>
      </c>
      <c r="BG22" s="772">
        <f>IF(ISNUMBER(STDEV(BG8:BG19)),STDEV(BG8:BG19),"-")</f>
        <v>0.12320527621987029</v>
      </c>
      <c r="BH22" s="773">
        <f>IF(ISNUMBER(STDEV(BH8:BH19)),STDEV(BH8:BH19),"-")</f>
        <v>4.5498694839566651</v>
      </c>
      <c r="BI22" s="248">
        <f>IF(ISNUMBER(STDEV(BI8:BI19)),STDEV(BI8:BI19),"-")</f>
        <v>0.10701505806516336</v>
      </c>
      <c r="BJ22" s="986" t="str">
        <f>IF(ISNUMBER(BL22/BM22),BL22/BM22," - ")</f>
        <v xml:space="preserve"> - </v>
      </c>
      <c r="BK22" s="574"/>
      <c r="BL22" s="558">
        <f>IF(ISNUMBER(STDEV(BL8:BL19)),STDEV(BL8:BL19),"-")</f>
        <v>0.50185790778466743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MYohOIOQUdh6NAgQKc7FX02ijiVzeat3QxN8J8/NaGL9bT1U65IdrY92Aoqu9tzNj5UTLr8M44gz7D7ethq6ng==" saltValue="YLMR569RhZQNSfkc9qA0o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GANDIA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0.25356371490280777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0.17929662227062781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kmWZBFVoBTL//uGEm4qLeoiXXFiqnztkJb6o5CiyGkuWuBb8O4pXFs/SV2T7P8y+1TEEgLE+0FmTH+rZQjkzFw==" saltValue="hb/pPXhLp2pn68kZ1JZrz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GANDIA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ro2eHtzlkoOc0pP4oIAQPZ3HJqPh9NGDoA31/FMW4JIPtFIH/FNAza6NmT5LXP2Qd1e5UszPyMyqUK9fUAh1Qg==" saltValue="FoecIcO7ICXFkuY2qhKVx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